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4.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102"/>
  <workbookPr codeName="ThisWorkbook"/>
  <mc:AlternateContent xmlns:mc="http://schemas.openxmlformats.org/markup-compatibility/2006">
    <mc:Choice Requires="x15">
      <x15ac:absPath xmlns:x15ac="http://schemas.microsoft.com/office/spreadsheetml/2010/11/ac" url="/Users/georgetupy/Desktop/"/>
    </mc:Choice>
  </mc:AlternateContent>
  <xr:revisionPtr revIDLastSave="0" documentId="13_ncr:1_{0D47E14C-6FB1-F742-83B6-65420C006848}" xr6:coauthVersionLast="47" xr6:coauthVersionMax="47" xr10:uidLastSave="{00000000-0000-0000-0000-000000000000}"/>
  <bookViews>
    <workbookView xWindow="0" yWindow="620" windowWidth="28800" windowHeight="15940" xr2:uid="{33CBBEC4-0BA1-7242-B9C4-67FDF30CA4D6}"/>
  </bookViews>
  <sheets>
    <sheet name="Title" sheetId="28" r:id="rId1"/>
    <sheet name="TAP_DCF" sheetId="12" r:id="rId2"/>
    <sheet name="Possible_Comps" sheetId="23" r:id="rId3"/>
    <sheet name="Selecting_Comps" sheetId="24" r:id="rId4"/>
    <sheet name="TAP_Comps" sheetId="25" r:id="rId5"/>
    <sheet name="Relative Valuation Chart" sheetId="27" r:id="rId6"/>
    <sheet name="TAP Football Field" sheetId="26" r:id="rId7"/>
    <sheet name="Income Statement" sheetId="6" r:id="rId8"/>
    <sheet name="Balance Sheet" sheetId="5" r:id="rId9"/>
    <sheet name="Cash Flow" sheetId="13" r:id="rId10"/>
    <sheet name="As Reported IS" sheetId="20" r:id="rId11"/>
    <sheet name="As Reported BS" sheetId="19" r:id="rId12"/>
    <sheet name="TAP_LTM" sheetId="22" r:id="rId13"/>
  </sheets>
  <externalReferences>
    <externalReference r:id="rId14"/>
    <externalReference r:id="rId15"/>
  </externalReferences>
  <definedNames>
    <definedName name="_xlnm._FilterDatabase" localSheetId="1" hidden="1">TAP_DCF!#REF!</definedName>
    <definedName name="AXL_Debt" localSheetId="2">[1]AXL_BS!$B$65</definedName>
    <definedName name="AXL_Debt" localSheetId="3">[1]AXL_BS!$B$65</definedName>
    <definedName name="AXL_Debt" localSheetId="12">[1]AXL_BS!$B$65</definedName>
    <definedName name="AXL_Debt">[1]AXL_BS!$B$65</definedName>
    <definedName name="BEA_Debt">#REF!</definedName>
    <definedName name="BWA_Debt" localSheetId="2">[1]BWA_BS!$B$111</definedName>
    <definedName name="BWA_Debt" localSheetId="3">[1]BWA_BS!$B$111</definedName>
    <definedName name="BWA_Debt" localSheetId="12">[1]BWA_BS!$B$111</definedName>
    <definedName name="BWA_Debt">[1]BWA_BS!$B$111</definedName>
    <definedName name="CIQWBGuid" hidden="1">"d0998759-8ba7-4210-8fa6-7a4a90d99731"</definedName>
    <definedName name="DAN_Debt" localSheetId="2">[1]DAN_BS!$B$94</definedName>
    <definedName name="DAN_Debt" localSheetId="3">[1]DAN_BS!$B$94</definedName>
    <definedName name="DAN_Debt" localSheetId="12">[1]DAN_BS!$B$94</definedName>
    <definedName name="DAN_Debt">[1]DAN_BS!$B$94</definedName>
    <definedName name="GNTX_NCI" localSheetId="2">[1]GNTX_LTM!$E$13</definedName>
    <definedName name="GNTX_NCI" localSheetId="3">[1]GNTX_LTM!$E$13</definedName>
    <definedName name="GNTX_NCI" localSheetId="12">[1]GNTX_LTM!$E$13</definedName>
    <definedName name="GNTX_NCI">[1]GNTX_LTM!$E$13</definedName>
    <definedName name="GNTX_Net_Debt" localSheetId="2">[1]GNTX_LTM!$E$11</definedName>
    <definedName name="GNTX_Net_Debt" localSheetId="3">[1]GNTX_LTM!$E$11</definedName>
    <definedName name="GNTX_Net_Debt" localSheetId="12">[1]GNTX_LTM!$E$11</definedName>
    <definedName name="GNTX_Net_Debt">[1]GNTX_LTM!$E$11</definedName>
    <definedName name="GNTX_PS" localSheetId="2">[1]GNTX_LTM!$E$12</definedName>
    <definedName name="GNTX_PS" localSheetId="3">[1]GNTX_LTM!$E$12</definedName>
    <definedName name="GNTX_PS" localSheetId="12">[1]GNTX_LTM!$E$12</definedName>
    <definedName name="GNTX_PS">[1]GNTX_LTM!$E$12</definedName>
    <definedName name="IQ_CH">110000</definedName>
    <definedName name="IQ_CQ">5000</definedName>
    <definedName name="IQ_CY">10000</definedName>
    <definedName name="IQ_DAILY">500000</definedName>
    <definedName name="IQ_DNTM" hidden="1">700000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MTD" hidden="1">800000</definedName>
    <definedName name="IQ_NAMES_REVISION_DATE_" localSheetId="4" hidden="1">42765.9361458333</definedName>
    <definedName name="IQ_NAMES_REVISION_DATE_" hidden="1">43011.9007060185</definedName>
    <definedName name="IQ_NTM">6000</definedName>
    <definedName name="IQ_QTD" hidden="1">750000</definedName>
    <definedName name="IQ_TODAY" hidden="1">0</definedName>
    <definedName name="IQ_WEEK">50000</definedName>
    <definedName name="IQ_YTD">3000</definedName>
    <definedName name="IQ_YTDMONTH" hidden="1">130000</definedName>
    <definedName name="Krispy_Cash_LQ" localSheetId="2">[2]KKD_BS_LQ!$B$3</definedName>
    <definedName name="Krispy_Cash_LQ" localSheetId="3">[2]KKD_BS_LQ!$B$3</definedName>
    <definedName name="Krispy_Cash_LQ" localSheetId="12">[2]KKD_BS_LQ!$B$3</definedName>
    <definedName name="Krispy_Cash_LQ">[2]KKD_BS_LQ!$B$3</definedName>
    <definedName name="Krispy_EBITDA_LTM" localSheetId="2">[2]KKD_LTM!$E$6</definedName>
    <definedName name="Krispy_EBITDA_LTM" localSheetId="3">[2]KKD_LTM!$E$6</definedName>
    <definedName name="Krispy_EBITDA_LTM" localSheetId="12">[2]KKD_LTM!$E$6</definedName>
    <definedName name="Krispy_EBITDA_LTM">[2]KKD_LTM!$E$6</definedName>
    <definedName name="LEA_Debt" localSheetId="2">[1]LEA_BS!$B$58</definedName>
    <definedName name="LEA_Debt" localSheetId="3">[1]LEA_BS!$B$58</definedName>
    <definedName name="LEA_Debt" localSheetId="12">[1]LEA_BS!$B$58</definedName>
    <definedName name="LEA_Debt">[1]LEA_BS!$B$58</definedName>
    <definedName name="_xlnm.Print_Titles" localSheetId="11">'As Reported BS'!#REF!</definedName>
    <definedName name="_xlnm.Print_Titles" localSheetId="10">'As Reported IS'!#REF!</definedName>
    <definedName name="_xlnm.Print_Titles" localSheetId="8">'Balance Sheet'!#REF!</definedName>
    <definedName name="_xlnm.Print_Titles" localSheetId="9">'Cash Flow'!$1:$3</definedName>
    <definedName name="_xlnm.Print_Titles" localSheetId="7">'Income Statement'!#REF!</definedName>
    <definedName name="TAP_LTM">#REF!</definedName>
    <definedName name="THRM_Debt" localSheetId="2">[1]THRM_BS!$B$78</definedName>
    <definedName name="THRM_Debt" localSheetId="3">[1]THRM_BS!$B$78</definedName>
    <definedName name="THRM_Debt" localSheetId="12">[1]THRM_BS!$B$78</definedName>
    <definedName name="THRM_Debt">[1]THRM_BS!$B$78</definedName>
    <definedName name="VC_Debt" localSheetId="2">[1]VC_BS!$B$109</definedName>
    <definedName name="VC_Debt" localSheetId="3">[1]VC_BS!$B$109</definedName>
    <definedName name="VC_Debt" localSheetId="12">[1]VC_BS!$B$109</definedName>
    <definedName name="VC_Debt">[1]VC_BS!$B$109</definedName>
  </definedNames>
  <calcPr calcId="191029" iterate="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41" i="25" l="1"/>
  <c r="G31" i="25"/>
  <c r="I89" i="12"/>
  <c r="I90" i="12" s="1"/>
  <c r="H51" i="12"/>
  <c r="F100" i="12"/>
  <c r="F110" i="12"/>
  <c r="D133" i="12"/>
  <c r="I126" i="12"/>
  <c r="I12" i="26"/>
  <c r="H12" i="26"/>
  <c r="B12" i="26" s="1"/>
  <c r="I11" i="26"/>
  <c r="H11" i="26"/>
  <c r="E13" i="26"/>
  <c r="F11" i="26"/>
  <c r="D11" i="26"/>
  <c r="M14" i="27"/>
  <c r="M13" i="27"/>
  <c r="K14" i="27"/>
  <c r="J14" i="27"/>
  <c r="K13" i="27"/>
  <c r="J13" i="27"/>
  <c r="K12" i="27"/>
  <c r="J12" i="27"/>
  <c r="K11" i="27"/>
  <c r="J11" i="27"/>
  <c r="G15" i="27"/>
  <c r="H14" i="27"/>
  <c r="F14" i="27"/>
  <c r="G14" i="27"/>
  <c r="G13" i="27"/>
  <c r="H13" i="27"/>
  <c r="F13" i="27"/>
  <c r="H11" i="27"/>
  <c r="B14" i="27"/>
  <c r="B13" i="27"/>
  <c r="B12" i="27"/>
  <c r="B11" i="27"/>
  <c r="B9" i="27"/>
  <c r="M15" i="27"/>
  <c r="M12" i="27"/>
  <c r="H12" i="27"/>
  <c r="F12" i="27"/>
  <c r="M11" i="27"/>
  <c r="M10" i="27"/>
  <c r="K10" i="27"/>
  <c r="J10" i="27"/>
  <c r="B10" i="27" s="1"/>
  <c r="H10" i="27"/>
  <c r="F10" i="27"/>
  <c r="M9" i="27"/>
  <c r="K9" i="27"/>
  <c r="J9" i="27"/>
  <c r="H9" i="27"/>
  <c r="B11" i="26"/>
  <c r="D12" i="26"/>
  <c r="F12" i="26"/>
  <c r="L158" i="12"/>
  <c r="M158" i="12" s="1"/>
  <c r="K158" i="12"/>
  <c r="H158" i="12"/>
  <c r="G158" i="12" s="1"/>
  <c r="F158" i="12" s="1"/>
  <c r="E158" i="12" s="1"/>
  <c r="D158" i="12" s="1"/>
  <c r="C158" i="12" s="1"/>
  <c r="I158" i="12"/>
  <c r="I10" i="26"/>
  <c r="H10" i="26"/>
  <c r="B10" i="26" s="1"/>
  <c r="I9" i="26"/>
  <c r="H9" i="26"/>
  <c r="B9" i="26" s="1"/>
  <c r="F10" i="26"/>
  <c r="D10" i="26"/>
  <c r="E10" i="26" s="1"/>
  <c r="F9" i="26"/>
  <c r="E12" i="26" l="1"/>
  <c r="E11" i="26"/>
  <c r="G10" i="27"/>
  <c r="G12" i="27"/>
  <c r="G36" i="25"/>
  <c r="F42" i="25"/>
  <c r="D41" i="25"/>
  <c r="D40" i="25"/>
  <c r="D39" i="25"/>
  <c r="D38" i="25"/>
  <c r="D37" i="25"/>
  <c r="F36" i="25"/>
  <c r="D36" i="25" s="1"/>
  <c r="G35" i="25"/>
  <c r="F35" i="25" s="1"/>
  <c r="G34" i="25"/>
  <c r="F34" i="25" s="1"/>
  <c r="G33" i="25"/>
  <c r="F33" i="25" s="1"/>
  <c r="G32" i="25"/>
  <c r="F32" i="25" s="1"/>
  <c r="F31" i="25"/>
  <c r="D42" i="25" l="1"/>
  <c r="P42" i="25"/>
  <c r="P41" i="25"/>
  <c r="N38" i="25"/>
  <c r="N37" i="25"/>
  <c r="I34" i="25"/>
  <c r="I33" i="25"/>
  <c r="H32" i="25"/>
  <c r="H31" i="25"/>
  <c r="O40" i="25"/>
  <c r="O39" i="25"/>
  <c r="J36" i="25"/>
  <c r="D32" i="25"/>
  <c r="D33" i="25"/>
  <c r="D34" i="25"/>
  <c r="D35" i="25"/>
  <c r="F11" i="27" s="1"/>
  <c r="G11" i="27" s="1"/>
  <c r="I27" i="25" l="1"/>
  <c r="J27" i="25"/>
  <c r="N27" i="25"/>
  <c r="O27" i="25"/>
  <c r="P27" i="25"/>
  <c r="H27" i="25"/>
  <c r="I26" i="25"/>
  <c r="J26" i="25"/>
  <c r="N26" i="25"/>
  <c r="O26" i="25"/>
  <c r="P26" i="25"/>
  <c r="H26" i="25"/>
  <c r="I25" i="25"/>
  <c r="J25" i="25"/>
  <c r="N25" i="25"/>
  <c r="O25" i="25"/>
  <c r="P25" i="25"/>
  <c r="H25" i="25"/>
  <c r="I24" i="25"/>
  <c r="J24" i="25"/>
  <c r="N24" i="25"/>
  <c r="O24" i="25"/>
  <c r="P24" i="25"/>
  <c r="H24" i="25"/>
  <c r="O12" i="25" l="1"/>
  <c r="O13" i="25"/>
  <c r="O14" i="25"/>
  <c r="O15" i="25"/>
  <c r="O16" i="25"/>
  <c r="O17" i="25"/>
  <c r="O10" i="25"/>
  <c r="N12" i="25"/>
  <c r="N13" i="25"/>
  <c r="N14" i="25"/>
  <c r="N15" i="25"/>
  <c r="N16" i="25"/>
  <c r="N17" i="25"/>
  <c r="N10" i="25"/>
  <c r="P10" i="25"/>
  <c r="P12" i="25"/>
  <c r="P13" i="25"/>
  <c r="P14" i="25"/>
  <c r="P15" i="25"/>
  <c r="P16" i="25"/>
  <c r="P17" i="25"/>
  <c r="C11" i="19" l="1"/>
  <c r="D11" i="19" s="1"/>
  <c r="E11" i="19" s="1"/>
  <c r="F11" i="19" s="1"/>
  <c r="C11" i="20"/>
  <c r="D11" i="20" s="1"/>
  <c r="E11" i="20" s="1"/>
  <c r="F11" i="20" s="1"/>
  <c r="F18" i="12" l="1"/>
  <c r="I145" i="12" l="1"/>
  <c r="J145" i="12" s="1"/>
  <c r="K145" i="12" s="1"/>
  <c r="L145" i="12" s="1"/>
  <c r="G145" i="12"/>
  <c r="F145" i="12" s="1"/>
  <c r="E145" i="12" s="1"/>
  <c r="D145" i="12" s="1"/>
  <c r="C147" i="12"/>
  <c r="C148" i="12" s="1"/>
  <c r="C149" i="12" s="1"/>
  <c r="C150" i="12" s="1"/>
  <c r="C151" i="12" s="1"/>
  <c r="C152" i="12" s="1"/>
  <c r="C153" i="12" s="1"/>
  <c r="N92" i="12"/>
  <c r="N87" i="12" l="1"/>
  <c r="N86" i="12"/>
  <c r="N85" i="12"/>
  <c r="N93" i="12" s="1"/>
  <c r="S50" i="12" s="1"/>
  <c r="N90" i="12" l="1"/>
  <c r="S51" i="12" s="1"/>
  <c r="N51" i="12"/>
  <c r="G130" i="12"/>
  <c r="G129" i="12"/>
  <c r="G128" i="12"/>
  <c r="G127" i="12"/>
  <c r="G126" i="12"/>
  <c r="K130" i="12" l="1"/>
  <c r="I130" i="12" s="1"/>
  <c r="K129" i="12"/>
  <c r="I129" i="12" s="1"/>
  <c r="K128" i="12"/>
  <c r="I128" i="12" s="1"/>
  <c r="K127" i="12"/>
  <c r="I127" i="12" s="1"/>
  <c r="F111" i="12"/>
  <c r="F17" i="12" l="1"/>
  <c r="F24" i="12" l="1"/>
  <c r="F23" i="12"/>
  <c r="F14" i="12"/>
  <c r="F35" i="12" s="1"/>
  <c r="C11" i="5"/>
  <c r="D11" i="5" s="1"/>
  <c r="E11" i="5" s="1"/>
  <c r="F11" i="5" s="1"/>
  <c r="C15" i="13"/>
  <c r="D15" i="13" s="1"/>
  <c r="E15" i="13" s="1"/>
  <c r="F15" i="13" s="1"/>
  <c r="F34" i="12" l="1"/>
  <c r="F37" i="12"/>
  <c r="F36" i="12"/>
  <c r="C11" i="6" l="1"/>
  <c r="B7" i="12"/>
  <c r="G13" i="12"/>
  <c r="G18" i="12" s="1"/>
  <c r="F30" i="12"/>
  <c r="G30" i="12" s="1"/>
  <c r="H30" i="12" s="1"/>
  <c r="I30" i="12" s="1"/>
  <c r="J30" i="12" s="1"/>
  <c r="K30" i="12" s="1"/>
  <c r="L30" i="12" s="1"/>
  <c r="M30" i="12" s="1"/>
  <c r="N30" i="12" s="1"/>
  <c r="O30" i="12" s="1"/>
  <c r="F62" i="12"/>
  <c r="I88" i="12"/>
  <c r="F101" i="12"/>
  <c r="B135" i="12"/>
  <c r="B136" i="12"/>
  <c r="B137" i="12"/>
  <c r="F68" i="12" l="1"/>
  <c r="F63" i="12"/>
  <c r="S33" i="12"/>
  <c r="S35" i="12"/>
  <c r="L35" i="12" s="1"/>
  <c r="I91" i="12"/>
  <c r="I93" i="12" s="1"/>
  <c r="S32" i="12"/>
  <c r="S37" i="12"/>
  <c r="S36" i="12"/>
  <c r="S34" i="12"/>
  <c r="F77" i="12"/>
  <c r="G77" i="12" s="1"/>
  <c r="H77" i="12" s="1"/>
  <c r="I77" i="12" s="1"/>
  <c r="J77" i="12" s="1"/>
  <c r="K77" i="12" s="1"/>
  <c r="L77" i="12" s="1"/>
  <c r="M77" i="12" s="1"/>
  <c r="N77" i="12" s="1"/>
  <c r="O77" i="12" s="1"/>
  <c r="S78" i="12" s="1"/>
  <c r="L78" i="12" s="1"/>
  <c r="M78" i="12" s="1"/>
  <c r="N78" i="12" s="1"/>
  <c r="O78" i="12" s="1"/>
  <c r="F64" i="12"/>
  <c r="F69" i="12"/>
  <c r="F67" i="12"/>
  <c r="G24" i="12"/>
  <c r="G23" i="12"/>
  <c r="F15" i="12"/>
  <c r="D11" i="6"/>
  <c r="E11" i="6" s="1"/>
  <c r="F11" i="6" s="1"/>
  <c r="H13" i="12"/>
  <c r="H18" i="12" s="1"/>
  <c r="G15" i="12"/>
  <c r="G62" i="12"/>
  <c r="G68" i="12" s="1"/>
  <c r="M35" i="12" l="1"/>
  <c r="L34" i="12"/>
  <c r="F102" i="12"/>
  <c r="F103" i="12" s="1"/>
  <c r="E31" i="25"/>
  <c r="D31" i="25" s="1"/>
  <c r="L32" i="12"/>
  <c r="N53" i="12"/>
  <c r="H53" i="12"/>
  <c r="G36" i="12"/>
  <c r="F70" i="12"/>
  <c r="F33" i="12"/>
  <c r="F16" i="12"/>
  <c r="F19" i="12" s="1"/>
  <c r="F20" i="12" s="1"/>
  <c r="H62" i="12"/>
  <c r="H68" i="12" s="1"/>
  <c r="G67" i="12"/>
  <c r="G64" i="12"/>
  <c r="G69" i="12"/>
  <c r="G63" i="12"/>
  <c r="F65" i="12"/>
  <c r="F72" i="12" s="1"/>
  <c r="H24" i="12"/>
  <c r="H23" i="12"/>
  <c r="G14" i="12"/>
  <c r="G35" i="12" s="1"/>
  <c r="H17" i="12"/>
  <c r="G17" i="12"/>
  <c r="I13" i="12"/>
  <c r="I18" i="12" s="1"/>
  <c r="H14" i="12"/>
  <c r="H35" i="12" s="1"/>
  <c r="H15" i="12"/>
  <c r="D9" i="26" l="1"/>
  <c r="E9" i="26" s="1"/>
  <c r="F9" i="27"/>
  <c r="G9" i="27" s="1"/>
  <c r="F106" i="12"/>
  <c r="D135" i="12"/>
  <c r="D137" i="12" s="1"/>
  <c r="F116" i="12" s="1"/>
  <c r="F117" i="12" s="1"/>
  <c r="N35" i="12"/>
  <c r="F105" i="12"/>
  <c r="F78" i="12"/>
  <c r="G65" i="12"/>
  <c r="H16" i="12"/>
  <c r="G32" i="12"/>
  <c r="G16" i="12"/>
  <c r="G70" i="12"/>
  <c r="F38" i="12"/>
  <c r="F21" i="12"/>
  <c r="F26" i="12" s="1"/>
  <c r="H38" i="12"/>
  <c r="H33" i="12"/>
  <c r="H36" i="12"/>
  <c r="I62" i="12"/>
  <c r="I68" i="12" s="1"/>
  <c r="H69" i="12"/>
  <c r="H67" i="12"/>
  <c r="H63" i="12"/>
  <c r="H64" i="12"/>
  <c r="H32" i="12"/>
  <c r="I24" i="12"/>
  <c r="I23" i="12"/>
  <c r="G37" i="12"/>
  <c r="H37" i="12"/>
  <c r="G34" i="12"/>
  <c r="G33" i="12"/>
  <c r="H34" i="12"/>
  <c r="I14" i="12"/>
  <c r="I35" i="12" s="1"/>
  <c r="I17" i="12"/>
  <c r="J13" i="12"/>
  <c r="I15" i="12"/>
  <c r="F119" i="12" l="1"/>
  <c r="N46" i="12" s="1"/>
  <c r="N49" i="12" s="1"/>
  <c r="J18" i="12"/>
  <c r="J24" i="12"/>
  <c r="O35" i="12"/>
  <c r="G19" i="12"/>
  <c r="G20" i="12" s="1"/>
  <c r="G21" i="12" s="1"/>
  <c r="H19" i="12"/>
  <c r="H20" i="12" s="1"/>
  <c r="G72" i="12"/>
  <c r="G73" i="12" s="1"/>
  <c r="G25" i="12" s="1"/>
  <c r="G26" i="12" s="1"/>
  <c r="H70" i="12"/>
  <c r="I32" i="12"/>
  <c r="I16" i="12"/>
  <c r="G38" i="12"/>
  <c r="I34" i="12"/>
  <c r="J62" i="12"/>
  <c r="J68" i="12" s="1"/>
  <c r="I63" i="12"/>
  <c r="I69" i="12"/>
  <c r="I67" i="12"/>
  <c r="I64" i="12"/>
  <c r="H65" i="12"/>
  <c r="I36" i="12"/>
  <c r="J23" i="12"/>
  <c r="I37" i="12"/>
  <c r="I33" i="12"/>
  <c r="J14" i="12"/>
  <c r="J17" i="12"/>
  <c r="J15" i="12"/>
  <c r="K13" i="12"/>
  <c r="L13" i="12" s="1"/>
  <c r="M13" i="12" s="1"/>
  <c r="N13" i="12" s="1"/>
  <c r="O13" i="12" s="1"/>
  <c r="H46" i="12" l="1"/>
  <c r="H49" i="12" s="1"/>
  <c r="G78" i="12"/>
  <c r="J35" i="12"/>
  <c r="H21" i="12"/>
  <c r="J34" i="12"/>
  <c r="H72" i="12"/>
  <c r="H73" i="12" s="1"/>
  <c r="H25" i="12" s="1"/>
  <c r="H26" i="12" s="1"/>
  <c r="I19" i="12"/>
  <c r="I20" i="12" s="1"/>
  <c r="I21" i="12" s="1"/>
  <c r="I70" i="12"/>
  <c r="J33" i="12"/>
  <c r="K14" i="12"/>
  <c r="J32" i="12"/>
  <c r="J16" i="12"/>
  <c r="I38" i="12"/>
  <c r="I65" i="12"/>
  <c r="J36" i="12"/>
  <c r="K62" i="12"/>
  <c r="L62" i="12" s="1"/>
  <c r="M62" i="12" s="1"/>
  <c r="N62" i="12" s="1"/>
  <c r="O62" i="12" s="1"/>
  <c r="J69" i="12"/>
  <c r="J63" i="12"/>
  <c r="J64" i="12"/>
  <c r="J67" i="12"/>
  <c r="L33" i="12"/>
  <c r="M33" i="12" s="1"/>
  <c r="L36" i="12"/>
  <c r="M36" i="12" s="1"/>
  <c r="N36" i="12" s="1"/>
  <c r="O36" i="12" s="1"/>
  <c r="M34" i="12"/>
  <c r="N34" i="12" s="1"/>
  <c r="O34" i="12" s="1"/>
  <c r="J37" i="12"/>
  <c r="K24" i="12" l="1"/>
  <c r="K23" i="12" s="1"/>
  <c r="K18" i="12"/>
  <c r="K17" i="12"/>
  <c r="H78" i="12"/>
  <c r="J70" i="12"/>
  <c r="I72" i="12"/>
  <c r="I73" i="12" s="1"/>
  <c r="I25" i="12" s="1"/>
  <c r="I26" i="12" s="1"/>
  <c r="J19" i="12"/>
  <c r="N33" i="12"/>
  <c r="O33" i="12" s="1"/>
  <c r="K72" i="12"/>
  <c r="J38" i="12"/>
  <c r="K15" i="12"/>
  <c r="K16" i="12" s="1"/>
  <c r="M32" i="12"/>
  <c r="N32" i="12" s="1"/>
  <c r="O32" i="12" s="1"/>
  <c r="L14" i="12"/>
  <c r="L18" i="12" s="1"/>
  <c r="J65" i="12"/>
  <c r="J72" i="12" s="1"/>
  <c r="L37" i="12"/>
  <c r="M37" i="12" l="1"/>
  <c r="L24" i="12"/>
  <c r="L23" i="12" s="1"/>
  <c r="I78" i="12"/>
  <c r="J20" i="12"/>
  <c r="J21" i="12" s="1"/>
  <c r="K19" i="12"/>
  <c r="J73" i="12"/>
  <c r="J25" i="12" s="1"/>
  <c r="K73" i="12"/>
  <c r="K25" i="12" s="1"/>
  <c r="K20" i="12"/>
  <c r="L72" i="12"/>
  <c r="L73" i="12" s="1"/>
  <c r="L25" i="12" s="1"/>
  <c r="K38" i="12"/>
  <c r="J78" i="12"/>
  <c r="M14" i="12"/>
  <c r="M18" i="12" s="1"/>
  <c r="L15" i="12"/>
  <c r="L16" i="12" s="1"/>
  <c r="L17" i="12"/>
  <c r="N37" i="12" l="1"/>
  <c r="M24" i="12"/>
  <c r="M23" i="12" s="1"/>
  <c r="L19" i="12"/>
  <c r="L20" i="12" s="1"/>
  <c r="L21" i="12" s="1"/>
  <c r="L26" i="12" s="1"/>
  <c r="J26" i="12"/>
  <c r="K21" i="12"/>
  <c r="K26" i="12" s="1"/>
  <c r="M72" i="12"/>
  <c r="M73" i="12" s="1"/>
  <c r="M25" i="12" s="1"/>
  <c r="L38" i="12"/>
  <c r="M15" i="12"/>
  <c r="M16" i="12" s="1"/>
  <c r="M19" i="12" s="1"/>
  <c r="M17" i="12"/>
  <c r="N14" i="12"/>
  <c r="N18" i="12" s="1"/>
  <c r="O37" i="12" l="1"/>
  <c r="N24" i="12"/>
  <c r="N23" i="12" s="1"/>
  <c r="N72" i="12"/>
  <c r="N73" i="12" s="1"/>
  <c r="N25" i="12" s="1"/>
  <c r="M20" i="12"/>
  <c r="N15" i="12"/>
  <c r="N16" i="12" s="1"/>
  <c r="N17" i="12"/>
  <c r="O14" i="12"/>
  <c r="O18" i="12" s="1"/>
  <c r="M38" i="12"/>
  <c r="O24" i="12" l="1"/>
  <c r="O23" i="12" s="1"/>
  <c r="N19" i="12"/>
  <c r="M21" i="12"/>
  <c r="M26" i="12" s="1"/>
  <c r="O72" i="12"/>
  <c r="O73" i="12" s="1"/>
  <c r="O25" i="12" s="1"/>
  <c r="N20" i="12"/>
  <c r="N38" i="12"/>
  <c r="O15" i="12"/>
  <c r="O16" i="12" s="1"/>
  <c r="O17" i="12"/>
  <c r="O19" i="12" l="1"/>
  <c r="N21" i="12"/>
  <c r="N26" i="12" s="1"/>
  <c r="O38" i="12"/>
  <c r="O20" i="12" l="1"/>
  <c r="O21" i="12" s="1"/>
  <c r="O26" i="12" s="1"/>
  <c r="N43" i="12"/>
  <c r="N45" i="12" s="1"/>
  <c r="N47" i="12" s="1"/>
  <c r="N50" i="12" s="1"/>
  <c r="N52" i="12" s="1"/>
  <c r="H43" i="12" l="1"/>
  <c r="H45" i="12" s="1"/>
  <c r="H47" i="12" s="1"/>
  <c r="H50" i="12" s="1"/>
  <c r="H52" i="12" s="1"/>
  <c r="H54" i="12" l="1"/>
  <c r="C145" i="12" s="1"/>
  <c r="N54" i="12"/>
  <c r="B159" i="12" s="1"/>
  <c r="S49" i="12"/>
  <c r="S52" i="12" s="1"/>
</calcChain>
</file>

<file path=xl/sharedStrings.xml><?xml version="1.0" encoding="utf-8"?>
<sst xmlns="http://schemas.openxmlformats.org/spreadsheetml/2006/main" count="1005" uniqueCount="550">
  <si>
    <t xml:space="preserve">
               </t>
  </si>
  <si>
    <t>Note: For multiple class companies, per share items are primary class equivalent, and for foreign companies listed as primary ADRs, per share items are ADR-equivalent.</t>
  </si>
  <si>
    <t>* Occasionally, certain items classified as Revenue by the company will be re-classified as other income if it is deemed to be non-recurring and unrelated to the core business of the firm. This field shows Total Revenue exactly as reported by the firm on its consolidated statement of income.</t>
  </si>
  <si>
    <t xml:space="preserve">  Stock-Based Comp., Total</t>
  </si>
  <si>
    <t>-</t>
  </si>
  <si>
    <t>Stock-Based Comp., Unallocated</t>
  </si>
  <si>
    <t>Stock-Based Comp., SG&amp;A Exp.</t>
  </si>
  <si>
    <t>Imputed Oper. Lease Depreciation</t>
  </si>
  <si>
    <t>Imputed Oper. Lease Interest Exp.</t>
  </si>
  <si>
    <t>NA</t>
  </si>
  <si>
    <t>Net Rental Exp.</t>
  </si>
  <si>
    <t>Selling and Marketing Exp.</t>
  </si>
  <si>
    <t>Marketing Exp.</t>
  </si>
  <si>
    <t>Supplemental Operating Expense Items</t>
  </si>
  <si>
    <t>REP</t>
  </si>
  <si>
    <t>Calculation Type</t>
  </si>
  <si>
    <t>O</t>
  </si>
  <si>
    <t>NC</t>
  </si>
  <si>
    <t>RC</t>
  </si>
  <si>
    <t>Restatement Type</t>
  </si>
  <si>
    <t>Filing Date</t>
  </si>
  <si>
    <t>Non-Cash Pension Expense</t>
  </si>
  <si>
    <t>Interest Capitalized</t>
  </si>
  <si>
    <t>Normalized Net Income</t>
  </si>
  <si>
    <t>Total Deferred Taxes</t>
  </si>
  <si>
    <t>Deferred Foreign Taxes</t>
  </si>
  <si>
    <t>Deferred Domestic Taxes</t>
  </si>
  <si>
    <t>Total Current Taxes</t>
  </si>
  <si>
    <t>Current Foreign Taxes</t>
  </si>
  <si>
    <t>Current Domestic Taxes</t>
  </si>
  <si>
    <t>NM</t>
  </si>
  <si>
    <t>Effective Tax Rate %</t>
  </si>
  <si>
    <t>As Reported Total Revenue*</t>
  </si>
  <si>
    <t>EBITDAR</t>
  </si>
  <si>
    <t>EBIT</t>
  </si>
  <si>
    <t>EBITA</t>
  </si>
  <si>
    <t>EBITDA</t>
  </si>
  <si>
    <t>Supplemental Items</t>
  </si>
  <si>
    <t>Shares per Depository Receipt</t>
  </si>
  <si>
    <t>Payout Ratio %</t>
  </si>
  <si>
    <t>Dividends per Share</t>
  </si>
  <si>
    <t>Normalized Diluted EPS</t>
  </si>
  <si>
    <t>Normalized Basic EPS</t>
  </si>
  <si>
    <t>Weighted Avg. Diluted Shares Out.</t>
  </si>
  <si>
    <t>Diluted EPS Excl. Extra Items</t>
  </si>
  <si>
    <t>Diluted EPS</t>
  </si>
  <si>
    <t>Weighted Avg. Basic Shares Out.</t>
  </si>
  <si>
    <t>Basic EPS Excl. Extra Items</t>
  </si>
  <si>
    <t>Basic EPS</t>
  </si>
  <si>
    <t>Per Share Items</t>
  </si>
  <si>
    <t xml:space="preserve">  NI to Common Excl. Extra Items</t>
  </si>
  <si>
    <t xml:space="preserve">  NI to Common Incl Extra Items</t>
  </si>
  <si>
    <t>Pref. Dividends and Other Adj.</t>
  </si>
  <si>
    <t xml:space="preserve">  Net Income</t>
  </si>
  <si>
    <t>Minority Int. in Earnings</t>
  </si>
  <si>
    <t xml:space="preserve">  Net Income to Company</t>
  </si>
  <si>
    <t>Extraord. Item &amp; Account. Change</t>
  </si>
  <si>
    <t>Earnings of Discontinued Ops.</t>
  </si>
  <si>
    <t xml:space="preserve">  Earnings from Cont. Ops.</t>
  </si>
  <si>
    <t>Income Tax Expense</t>
  </si>
  <si>
    <t xml:space="preserve">  EBT Incl. Unusual Items</t>
  </si>
  <si>
    <t>Other Unusual Items</t>
  </si>
  <si>
    <t>Legal Settlements</t>
  </si>
  <si>
    <t>Asset Writedown</t>
  </si>
  <si>
    <t>Gain (Loss) On Sale Of Assets</t>
  </si>
  <si>
    <t>Gain (Loss) On Sale Of Invest.</t>
  </si>
  <si>
    <t>Impairment of Goodwill</t>
  </si>
  <si>
    <t>Merger &amp; Related Restruct. Charges</t>
  </si>
  <si>
    <t>Restructuring Charges</t>
  </si>
  <si>
    <t xml:space="preserve">  EBT Excl. Unusual Items</t>
  </si>
  <si>
    <t>Other Non-Operating Inc. (Exp.)</t>
  </si>
  <si>
    <t>Currency Exchange Gains (Loss)</t>
  </si>
  <si>
    <t>Income/(Loss) from Affiliates</t>
  </si>
  <si>
    <t xml:space="preserve">  Net Interest Exp.</t>
  </si>
  <si>
    <t>Interest and Invest. Income</t>
  </si>
  <si>
    <t>Interest Expense</t>
  </si>
  <si>
    <t xml:space="preserve">  Operating Income</t>
  </si>
  <si>
    <t xml:space="preserve">  Other Operating Exp., Total</t>
  </si>
  <si>
    <t>Other Operating Expense/(Income)</t>
  </si>
  <si>
    <t>Amort. of Goodwill and Intangibles</t>
  </si>
  <si>
    <t>Depreciation &amp; Amort.</t>
  </si>
  <si>
    <t>R &amp; D Exp.</t>
  </si>
  <si>
    <t>Selling General &amp; Admin Exp.</t>
  </si>
  <si>
    <t xml:space="preserve">  Gross Profit</t>
  </si>
  <si>
    <t>Cost Of Goods Sold</t>
  </si>
  <si>
    <t xml:space="preserve">  Total Revenue</t>
  </si>
  <si>
    <t>Other Revenue</t>
  </si>
  <si>
    <t>Revenue</t>
  </si>
  <si>
    <t>USD</t>
  </si>
  <si>
    <t>Currency</t>
  </si>
  <si>
    <t xml:space="preserve">For the Fiscal Period Ending
</t>
  </si>
  <si>
    <t>Income Statement</t>
  </si>
  <si>
    <t> </t>
  </si>
  <si>
    <t>Capital IQ &amp; Proprietary Data</t>
  </si>
  <si>
    <t>Source:</t>
  </si>
  <si>
    <t>Capital IQ (Default)</t>
  </si>
  <si>
    <t>Decimals:</t>
  </si>
  <si>
    <t>S&amp;P Capital IQ (Default)</t>
  </si>
  <si>
    <t>Units:</t>
  </si>
  <si>
    <t>Historical</t>
  </si>
  <si>
    <t>Conversion:</t>
  </si>
  <si>
    <t>Reported Currency</t>
  </si>
  <si>
    <t>Currency:</t>
  </si>
  <si>
    <t>Latest on Right</t>
  </si>
  <si>
    <t>Order:</t>
  </si>
  <si>
    <t>Annual</t>
  </si>
  <si>
    <t>Period Type:</t>
  </si>
  <si>
    <t>Latest Filings</t>
  </si>
  <si>
    <t>Restatement:</t>
  </si>
  <si>
    <t>Standard</t>
  </si>
  <si>
    <t>Template:</t>
  </si>
  <si>
    <t>In Millions of the reported currency, except per share items.</t>
  </si>
  <si>
    <t>Molson Coors Beverage Company (NYSE:TAP) &gt; Financials &gt; Income Statement</t>
  </si>
  <si>
    <t>Note: For multiple class companies, total share counts are primary class equivalent, and for foreign companies listed as primary ADRs, total share counts are ADR-equivalent.</t>
  </si>
  <si>
    <t>RUP</t>
  </si>
  <si>
    <t>Accum. Allowance for Doubtful Accts</t>
  </si>
  <si>
    <t>Full Time Employees</t>
  </si>
  <si>
    <t>Natural Resources, at Cost</t>
  </si>
  <si>
    <t>Construction in Progress</t>
  </si>
  <si>
    <t>Machinery</t>
  </si>
  <si>
    <t>Buildings</t>
  </si>
  <si>
    <t>Land</t>
  </si>
  <si>
    <t>Finished Goods Inventory</t>
  </si>
  <si>
    <t>Work in Progress Inventory</t>
  </si>
  <si>
    <t>Raw Materials Inventory</t>
  </si>
  <si>
    <t>FIFO</t>
  </si>
  <si>
    <t>Inventory Method</t>
  </si>
  <si>
    <t>Equity Method Investments</t>
  </si>
  <si>
    <t>Total Minority Interest</t>
  </si>
  <si>
    <t>Debt Equivalent Oper. Leases</t>
  </si>
  <si>
    <t>Debt Equiv. of Unfunded Proj. Benefit Obligation</t>
  </si>
  <si>
    <t>Net Debt</t>
  </si>
  <si>
    <t>Total Debt</t>
  </si>
  <si>
    <t>Tangible Book Value/Share</t>
  </si>
  <si>
    <t>Tangible Book Value</t>
  </si>
  <si>
    <t>Book Value/Share</t>
  </si>
  <si>
    <t>Total Shares Out. on Balance Sheet Date</t>
  </si>
  <si>
    <t>Total Shares Out. on Filing Date</t>
  </si>
  <si>
    <t>Total Liabilities And Equity</t>
  </si>
  <si>
    <t>Total Equity</t>
  </si>
  <si>
    <t>Minority Interest</t>
  </si>
  <si>
    <t xml:space="preserve">  Total Common Equity</t>
  </si>
  <si>
    <t>Comprehensive Inc. and Other</t>
  </si>
  <si>
    <t>Treasury Stock</t>
  </si>
  <si>
    <t>Retained Earnings</t>
  </si>
  <si>
    <t>Additional Paid In Capital</t>
  </si>
  <si>
    <t>Common Stock</t>
  </si>
  <si>
    <t>Total Liabilities</t>
  </si>
  <si>
    <t>Other Non-Current Liabilities</t>
  </si>
  <si>
    <t>Def. Tax Liability, Non-Curr.</t>
  </si>
  <si>
    <t>Pension &amp; Other Post-Retire. Benefits</t>
  </si>
  <si>
    <t>Long-Term Leases</t>
  </si>
  <si>
    <t>Long-Term Debt</t>
  </si>
  <si>
    <t xml:space="preserve">  Total Current Liabilities</t>
  </si>
  <si>
    <t>Other Current Liabilities</t>
  </si>
  <si>
    <t>Curr. Port. of Leases</t>
  </si>
  <si>
    <t>Curr. Port. of LT Debt</t>
  </si>
  <si>
    <t>Short-term Borrowings</t>
  </si>
  <si>
    <t>Accrued Exp.</t>
  </si>
  <si>
    <t>Accounts Payable</t>
  </si>
  <si>
    <t>LIABILITIES</t>
  </si>
  <si>
    <t>Total Assets</t>
  </si>
  <si>
    <t>Other Long-Term Assets</t>
  </si>
  <si>
    <t>Deferred Charges, LT</t>
  </si>
  <si>
    <t>Deferred Tax Assets, LT</t>
  </si>
  <si>
    <t>Other Intangibles</t>
  </si>
  <si>
    <t>Goodwill</t>
  </si>
  <si>
    <t>Long-term Investments</t>
  </si>
  <si>
    <t xml:space="preserve">  Net Property, Plant &amp; Equipment</t>
  </si>
  <si>
    <t>Accumulated Depreciation</t>
  </si>
  <si>
    <t>Gross Property, Plant &amp; Equipment</t>
  </si>
  <si>
    <t xml:space="preserve">  Total Current Assets</t>
  </si>
  <si>
    <t>Other Current Assets</t>
  </si>
  <si>
    <t>Inventory</t>
  </si>
  <si>
    <t xml:space="preserve">  Total Receivables</t>
  </si>
  <si>
    <t>Other Receivables</t>
  </si>
  <si>
    <t>Accounts Receivable</t>
  </si>
  <si>
    <t xml:space="preserve">  Total Cash &amp; ST Investments</t>
  </si>
  <si>
    <t>Cash And Equivalents</t>
  </si>
  <si>
    <t>ASSETS</t>
  </si>
  <si>
    <t xml:space="preserve">Balance Sheet as of:
</t>
  </si>
  <si>
    <t>Balance Sheet</t>
  </si>
  <si>
    <t>Molson Coors Beverage Company (NYSE:TAP) &gt; Financials &gt; Balance Sheet</t>
  </si>
  <si>
    <t xml:space="preserve">  Cash from Ops.</t>
  </si>
  <si>
    <t xml:space="preserve">  Total Assets</t>
  </si>
  <si>
    <t>Boston Beer</t>
  </si>
  <si>
    <t>SENSITIVITY ANALYSIS</t>
  </si>
  <si>
    <t>x</t>
  </si>
  <si>
    <t>Average unlevered beta (Full industry)</t>
  </si>
  <si>
    <t>Average unlevered beta</t>
  </si>
  <si>
    <t>Tax Rate</t>
  </si>
  <si>
    <t>Beta</t>
  </si>
  <si>
    <t>Equity</t>
  </si>
  <si>
    <t>Debt</t>
  </si>
  <si>
    <t>Ticker</t>
  </si>
  <si>
    <t>Company</t>
  </si>
  <si>
    <t xml:space="preserve">Marginal </t>
  </si>
  <si>
    <t>Unlevered</t>
  </si>
  <si>
    <t>Reg</t>
  </si>
  <si>
    <t>Debt/</t>
  </si>
  <si>
    <t>Book Value</t>
  </si>
  <si>
    <t>MV</t>
  </si>
  <si>
    <t>BOTTOM UP BETA</t>
  </si>
  <si>
    <t>Weighted average cost of capital</t>
  </si>
  <si>
    <t>Cost of equity</t>
  </si>
  <si>
    <t>Market risk premium (Rm - Rf)</t>
  </si>
  <si>
    <t>Risk-free rate</t>
  </si>
  <si>
    <t>Marginal tax rate</t>
  </si>
  <si>
    <t>Pre-tax cost of debt</t>
  </si>
  <si>
    <t>Cost of debt</t>
  </si>
  <si>
    <t>Weight of equity</t>
  </si>
  <si>
    <t>Weight of debt</t>
  </si>
  <si>
    <t>Market value of equity</t>
  </si>
  <si>
    <t>Shares outstanding</t>
  </si>
  <si>
    <t>Share price</t>
  </si>
  <si>
    <t>Total debt</t>
  </si>
  <si>
    <t>Percent of Capital</t>
  </si>
  <si>
    <t>Current</t>
  </si>
  <si>
    <t>WACC</t>
  </si>
  <si>
    <t>Diluted shares outstanding</t>
  </si>
  <si>
    <t>Total shares repurchased</t>
  </si>
  <si>
    <t>Total proceeds</t>
  </si>
  <si>
    <t>In-the-money options</t>
  </si>
  <si>
    <t>Current share price</t>
  </si>
  <si>
    <t>Exercise price</t>
  </si>
  <si>
    <t>Oustanding options</t>
  </si>
  <si>
    <t>Outstanding options</t>
  </si>
  <si>
    <t>Basic share count</t>
  </si>
  <si>
    <t>Treasury Method- All Outstanding Options</t>
  </si>
  <si>
    <t>Treasury with a Twist- All Outstanding Options</t>
  </si>
  <si>
    <t>DILUTED SHARES</t>
  </si>
  <si>
    <t>Non-cash NWC as a % of Sale</t>
  </si>
  <si>
    <t>Projected</t>
  </si>
  <si>
    <t>Change in NWC</t>
  </si>
  <si>
    <t>Non-cash Net Working Capital</t>
  </si>
  <si>
    <t>Total non-debt current liabilities</t>
  </si>
  <si>
    <t>Total non-cash current assets</t>
  </si>
  <si>
    <t>WORKING CAPITAL SCHEDULE</t>
  </si>
  <si>
    <t>Implied Equity Value per Share</t>
  </si>
  <si>
    <t>Diluted Shares Outstanding</t>
  </si>
  <si>
    <t>Implied Equity Value</t>
  </si>
  <si>
    <t>Total Proceeds</t>
  </si>
  <si>
    <t>Net debt + Preferred stock + NCI</t>
  </si>
  <si>
    <t>Total Enterprise Value</t>
  </si>
  <si>
    <t>PV of Unlevered Free Cash Flows</t>
  </si>
  <si>
    <t>Treasury Outstanding Options</t>
  </si>
  <si>
    <t>PV of Terminal Value</t>
  </si>
  <si>
    <t>WACC - current</t>
  </si>
  <si>
    <t>Value of Options</t>
  </si>
  <si>
    <t>Terminal value</t>
  </si>
  <si>
    <t>Basic Shares</t>
  </si>
  <si>
    <t>Terminal year EBITDA multiple</t>
  </si>
  <si>
    <t>Terminal growth rate</t>
  </si>
  <si>
    <t>Implied Equity Value (Using TV)</t>
  </si>
  <si>
    <t>Terminal year EBITDA</t>
  </si>
  <si>
    <t>Unlevered FCF in terminal year</t>
  </si>
  <si>
    <t>Option Drag</t>
  </si>
  <si>
    <t>Terminal Value - Exit Multiple</t>
  </si>
  <si>
    <t>Terminal Value - Perpetuity Growth</t>
  </si>
  <si>
    <t>TERMINAL VALUE AND EQUITY VALUE PER SHARE</t>
  </si>
  <si>
    <t>Step</t>
  </si>
  <si>
    <t>Assumptions</t>
  </si>
  <si>
    <t>Unlevered free cash flows</t>
  </si>
  <si>
    <t>Change in Net Working Capital</t>
  </si>
  <si>
    <t>Tax-effected EBIT</t>
  </si>
  <si>
    <t>Taxes</t>
  </si>
  <si>
    <t>Gross Profit</t>
  </si>
  <si>
    <t>FORECASTING CASH FLOWS</t>
  </si>
  <si>
    <t xml:space="preserve">Valuation Date </t>
  </si>
  <si>
    <t>Share Price</t>
  </si>
  <si>
    <t>Company Name</t>
  </si>
  <si>
    <t>Molson Coors</t>
  </si>
  <si>
    <t>TAP</t>
  </si>
  <si>
    <t>Revenue Growth</t>
  </si>
  <si>
    <t>COGS (as a % of Revnue)</t>
  </si>
  <si>
    <t>SG&amp;A (as a % of Revneue)</t>
  </si>
  <si>
    <t>Capital Expenditure (as a % of Revenue)</t>
  </si>
  <si>
    <t>Gross margin</t>
  </si>
  <si>
    <t>Net Debt Issued</t>
  </si>
  <si>
    <t>Unlevered Free Cash Flow</t>
  </si>
  <si>
    <t>Levered Free Cash Flow</t>
  </si>
  <si>
    <t>Cash Taxes Paid</t>
  </si>
  <si>
    <t>Cash Interest Paid</t>
  </si>
  <si>
    <t xml:space="preserve">  Net Change in Cash</t>
  </si>
  <si>
    <t>Foreign Exchange Rate Adj.</t>
  </si>
  <si>
    <t xml:space="preserve">  Cash from Financing</t>
  </si>
  <si>
    <t>Other Financing Activities</t>
  </si>
  <si>
    <t>Special Dividend Paid</t>
  </si>
  <si>
    <t>Total Dividends Paid</t>
  </si>
  <si>
    <t>Common Dividends Paid</t>
  </si>
  <si>
    <t>Repurchase of Common Stock</t>
  </si>
  <si>
    <t>Issuance of Common Stock</t>
  </si>
  <si>
    <t>Total Debt Repaid</t>
  </si>
  <si>
    <t>Long-Term Debt Repaid</t>
  </si>
  <si>
    <t>Short Term Debt Repaid</t>
  </si>
  <si>
    <t>Total Debt Issued</t>
  </si>
  <si>
    <t>Long-Term Debt Issued</t>
  </si>
  <si>
    <t>Short Term Debt Issued</t>
  </si>
  <si>
    <t xml:space="preserve">  Cash from Investing</t>
  </si>
  <si>
    <t>Other Investing Activities</t>
  </si>
  <si>
    <t>Net (Inc.) Dec. in Loans Originated/Sold</t>
  </si>
  <si>
    <t>Invest. in Marketable &amp; Equity Securt.</t>
  </si>
  <si>
    <t>Divestitures</t>
  </si>
  <si>
    <t>Cash Acquisitions</t>
  </si>
  <si>
    <t>Sale of Property, Plant, and Equipment</t>
  </si>
  <si>
    <t>Capital Expenditure</t>
  </si>
  <si>
    <t>Change in Other Net Operating Assets</t>
  </si>
  <si>
    <t>Change in Acc. Payable</t>
  </si>
  <si>
    <t>Change In Inventories</t>
  </si>
  <si>
    <t>Change in Acc. Receivable</t>
  </si>
  <si>
    <t>Other Operating Activities</t>
  </si>
  <si>
    <t>Stock-Based Compensation</t>
  </si>
  <si>
    <t>(Income) Loss on Equity Invest.</t>
  </si>
  <si>
    <t>Asset Writedown &amp; Restructuring Costs</t>
  </si>
  <si>
    <t>(Gain) Loss From Sale Of Assets</t>
  </si>
  <si>
    <t>Other Amortization</t>
  </si>
  <si>
    <t>Depreciation &amp; Amort., Total</t>
  </si>
  <si>
    <t>Net Income</t>
  </si>
  <si>
    <t xml:space="preserve"> </t>
  </si>
  <si>
    <t>Cash Flow</t>
  </si>
  <si>
    <t>Molson Coors Beverage Company (NYSE:TAP) &gt; Financials &gt; Cash Flow</t>
  </si>
  <si>
    <t>Depreciation &amp; Amort., Totals (as % of capex)</t>
  </si>
  <si>
    <t xml:space="preserve">  Total current liabilities</t>
  </si>
  <si>
    <t>Default Spread</t>
  </si>
  <si>
    <t>Anheuser-Busch InBev SA/NV</t>
  </si>
  <si>
    <t>Constellation Brands, Inc.</t>
  </si>
  <si>
    <t>Heineken N.V.</t>
  </si>
  <si>
    <t>BUD</t>
  </si>
  <si>
    <t>STZ</t>
  </si>
  <si>
    <t>SAM</t>
  </si>
  <si>
    <t>HEIA</t>
  </si>
  <si>
    <t>Carlsberg A/S</t>
  </si>
  <si>
    <t>CARL B</t>
  </si>
  <si>
    <t>Class A Shares</t>
  </si>
  <si>
    <t>Class B Shares</t>
  </si>
  <si>
    <t>Voting Premium</t>
  </si>
  <si>
    <t>N/A</t>
  </si>
  <si>
    <t>Unvested RSUs</t>
  </si>
  <si>
    <t>WACC Step</t>
  </si>
  <si>
    <t>Terminal Growth Rate Step</t>
  </si>
  <si>
    <t>Terminal Growth Rate</t>
  </si>
  <si>
    <t>Amort. (as a % of Revenue)</t>
  </si>
  <si>
    <t>Fiscal year ends in December USD in millions except per share data.</t>
  </si>
  <si>
    <t xml:space="preserve">  Diluted EPS - Continuing Operations</t>
  </si>
  <si>
    <t xml:space="preserve">  Basic EPS - Continuing Operations</t>
  </si>
  <si>
    <t xml:space="preserve">  Operating Income (Loss)</t>
  </si>
  <si>
    <t xml:space="preserve">  Gross Profit/loss</t>
  </si>
  <si>
    <t>Supplementary Info</t>
  </si>
  <si>
    <t xml:space="preserve">  Net Income (Loss)</t>
  </si>
  <si>
    <t xml:space="preserve">  Minority Interest (After Tax)</t>
  </si>
  <si>
    <t xml:space="preserve">  Provision for Income Tax</t>
  </si>
  <si>
    <t>Taxes and Other Expenses</t>
  </si>
  <si>
    <t xml:space="preserve">  Earnings before Taxes</t>
  </si>
  <si>
    <t xml:space="preserve">  Other Non-operating Income/expense, Net</t>
  </si>
  <si>
    <t xml:space="preserve">  Equity Income (Loss)</t>
  </si>
  <si>
    <t xml:space="preserve">  Interest Income</t>
  </si>
  <si>
    <t xml:space="preserve">  Interest Expense</t>
  </si>
  <si>
    <t xml:space="preserve">  Goodwill Impairments</t>
  </si>
  <si>
    <t xml:space="preserve">  Other Operating Income/expense, Net</t>
  </si>
  <si>
    <t xml:space="preserve">  Marketing, General and Administrative Expenses</t>
  </si>
  <si>
    <t xml:space="preserve">  Other Pension and Postretirement Benefits (costs), Net</t>
  </si>
  <si>
    <t xml:space="preserve">  Cost of Goods Sold</t>
  </si>
  <si>
    <t>Expenses</t>
  </si>
  <si>
    <t xml:space="preserve">  Total Revenues</t>
  </si>
  <si>
    <t xml:space="preserve">  Less Beer Excise Taxes</t>
  </si>
  <si>
    <t xml:space="preserve">  Sales</t>
  </si>
  <si>
    <t>Revenues</t>
  </si>
  <si>
    <t>Millions</t>
  </si>
  <si>
    <t>Units</t>
  </si>
  <si>
    <t>As Presented</t>
  </si>
  <si>
    <t xml:space="preserve">  Total Liabilities &amp; Shareholders Equity</t>
  </si>
  <si>
    <t xml:space="preserve">  Total Shareholders Equity</t>
  </si>
  <si>
    <t xml:space="preserve">  Accumulated Other Comprehensive Income (Loss)</t>
  </si>
  <si>
    <t xml:space="preserve">  Retained Earnings</t>
  </si>
  <si>
    <t xml:space="preserve">  Treasury Stock - Common</t>
  </si>
  <si>
    <t xml:space="preserve">  Additional Paid in Capital</t>
  </si>
  <si>
    <t xml:space="preserve">  Common Stock - Par Value</t>
  </si>
  <si>
    <t>Shareholders' Equity</t>
  </si>
  <si>
    <t xml:space="preserve">  Other Liabilities</t>
  </si>
  <si>
    <t xml:space="preserve">  Redeemable Noncontrolling Interests</t>
  </si>
  <si>
    <t xml:space="preserve">  Minority Interest</t>
  </si>
  <si>
    <t xml:space="preserve">  Deferred Tax Liabilities</t>
  </si>
  <si>
    <t xml:space="preserve">  Pension &amp; Post Retirement Benefit</t>
  </si>
  <si>
    <t xml:space="preserve">  Long-term Debt</t>
  </si>
  <si>
    <t>Non Current Liabilities</t>
  </si>
  <si>
    <t xml:space="preserve">  Current Portion of Long-term Debt and Short-term Borrowings</t>
  </si>
  <si>
    <t xml:space="preserve">  Accounts Payable and Other Current Liabilities</t>
  </si>
  <si>
    <t>Current Liabilities</t>
  </si>
  <si>
    <t xml:space="preserve">  Other Assets</t>
  </si>
  <si>
    <t xml:space="preserve">  Other Intangibles</t>
  </si>
  <si>
    <t xml:space="preserve">  Goodwill</t>
  </si>
  <si>
    <t xml:space="preserve">  Property, Plant and Equipment, Net</t>
  </si>
  <si>
    <t>Non Current Assets</t>
  </si>
  <si>
    <t xml:space="preserve">  Other Current Assets</t>
  </si>
  <si>
    <t xml:space="preserve">  Inventories (Net)</t>
  </si>
  <si>
    <t xml:space="preserve">  Other Receivables (Net)</t>
  </si>
  <si>
    <t xml:space="preserve">  Trade Receivables Net</t>
  </si>
  <si>
    <t xml:space="preserve">  Cash and Cash Equivalents</t>
  </si>
  <si>
    <t>Current Assets</t>
  </si>
  <si>
    <t xml:space="preserve">  Accounts and Notes Receivable-affiliates</t>
  </si>
  <si>
    <t>Total Current Assets</t>
  </si>
  <si>
    <t>Total current assets</t>
  </si>
  <si>
    <t>Book Value of Equity</t>
  </si>
  <si>
    <t>Market Value of Equity</t>
  </si>
  <si>
    <t>Non-controlling Interest</t>
  </si>
  <si>
    <t>Preferred stock</t>
  </si>
  <si>
    <t>Net debt</t>
  </si>
  <si>
    <t>As of</t>
  </si>
  <si>
    <t>LTM</t>
  </si>
  <si>
    <t>9-Months Ended</t>
  </si>
  <si>
    <t>Fiscal year ended</t>
  </si>
  <si>
    <t>LTM Calculations For</t>
  </si>
  <si>
    <t>ChatGPT</t>
  </si>
  <si>
    <t>Morningstar</t>
  </si>
  <si>
    <t>Capital IQ</t>
  </si>
  <si>
    <t>Mergent</t>
  </si>
  <si>
    <t>Seeking Alpha</t>
  </si>
  <si>
    <t>5,002 firms</t>
  </si>
  <si>
    <t>Industry (SIC code: 2082)</t>
  </si>
  <si>
    <t>TAP 10K (comp)</t>
  </si>
  <si>
    <t>Proxy Statement</t>
  </si>
  <si>
    <t>Peers</t>
  </si>
  <si>
    <t>Source</t>
  </si>
  <si>
    <t>Alcoholic Beverage Distributors</t>
  </si>
  <si>
    <t>Industry</t>
  </si>
  <si>
    <t xml:space="preserve">LTM Total Revenues, 1 Yr Growth % </t>
  </si>
  <si>
    <t xml:space="preserve">LTM EBIT Margin % </t>
  </si>
  <si>
    <t xml:space="preserve">LTM EBITDA Margin % </t>
  </si>
  <si>
    <t xml:space="preserve">LTM Gross Margin % </t>
  </si>
  <si>
    <t>Exchange</t>
  </si>
  <si>
    <t>List of Possible Competitors</t>
  </si>
  <si>
    <t>Business Description</t>
  </si>
  <si>
    <t>Range of Price-to-Book</t>
  </si>
  <si>
    <t>Range of Forward PEG</t>
  </si>
  <si>
    <t>Range of Forward P/E</t>
  </si>
  <si>
    <t>Range of EV/EBITDA</t>
  </si>
  <si>
    <t>Range of EV/EBIT</t>
  </si>
  <si>
    <t>Range of EV/Sales</t>
  </si>
  <si>
    <t>Implied Enterprise Value</t>
  </si>
  <si>
    <t>Implied price per share</t>
  </si>
  <si>
    <t>Low</t>
  </si>
  <si>
    <t>Median</t>
  </si>
  <si>
    <t>Mean</t>
  </si>
  <si>
    <t>High</t>
  </si>
  <si>
    <t>to-Book</t>
  </si>
  <si>
    <t>PEG</t>
  </si>
  <si>
    <t>P/E</t>
  </si>
  <si>
    <t>rate</t>
  </si>
  <si>
    <t>EPS</t>
  </si>
  <si>
    <t>EV/EBITDA</t>
  </si>
  <si>
    <t>EV/EBIT</t>
  </si>
  <si>
    <t>EV/Sales</t>
  </si>
  <si>
    <t>Value</t>
  </si>
  <si>
    <t>of Equity</t>
  </si>
  <si>
    <t>Price(Market)-</t>
  </si>
  <si>
    <t>Forward</t>
  </si>
  <si>
    <t>BV</t>
  </si>
  <si>
    <t>2 year growth</t>
  </si>
  <si>
    <t>Enterprise</t>
  </si>
  <si>
    <t>Market Value</t>
  </si>
  <si>
    <t>Equity Value Multiples</t>
  </si>
  <si>
    <t>Enterprise Value Multiples</t>
  </si>
  <si>
    <t>Valuation Date</t>
  </si>
  <si>
    <t xml:space="preserve">Valuation for period ended </t>
  </si>
  <si>
    <t>General Mills, Inc.
Heineken NV
The Hershey Company
Hormel Foods Corporation
The J. M. Smucker Company
Kellanova
Keurig Dr Pepper Inc.
The Kraft Heinz Company
McCormick &amp; Company, Incorporated
Monster Beverage Corporation.                       Brown-Forman Corporation
Campbell Soup Company
Carlsberg A/S
The Clorox Company
Coca-Cola European Partners Plc
Colgate-Palmolive Company
Conagra Brands, Inc.
Constellation Brands, Inc.
Diageo plc</t>
  </si>
  <si>
    <t>Anheuser-Busch InBev SA/NV ("ABI"), Constellation Brands, Inc., Heineken, Asahi, Carlsberg.</t>
  </si>
  <si>
    <t>Compañía Cervecerías Unidas S.A., The Boston Beer Company, Inc., Carlsberg A/S, Ambev S.A., and Heineken N.V.</t>
  </si>
  <si>
    <t>Constellation Brands, Inc. (NYSE:STZ), The Boston Beer Company, Inc. (NYSE:SAM), Brown-Forman Corporation (NYSE:BF.B), Carlsberg A/S (CPSE:CARL B), PepsiCo, Inc. (NasdaqGS:PEP), Kirin Holdings Company, Limited (TSE:2503), Ambev S.A. (BOVESPA:ABEV3), Asahi Group Holdings, Ltd. (TSE:2502), Tsingtao Brewery Company Limited (SHSE:600600), China Resources Beer (Holdings) Company Limited (SEHK:291).</t>
  </si>
  <si>
    <t>Boston Beer Company, Heinekein, and Constellation Brands</t>
  </si>
  <si>
    <t>SAB : XHC – Saigon Beer Alcohol Beverage Corp, BHN : XHC – Hanoi Beer Alcohol and Beverage Joint Stock Corp,                                                     MBG : IDX – Multi Bintang Indonesia Tbk PT, CVZ : SGO – Compañía Cervecerías Unidas S.A., ASBR : TKS – Asahi Group Holdings, CSB : KRX – Hitejinro Holdings Co,                                  CBP : KRX – Hitejinro Holdings Co, KB@N : TKS – Kirin Holdings Co,                                  THB : HST – Thanh Hoa Beer,                              TBL : DAR – Tanzania Breweries PLC.</t>
  </si>
  <si>
    <t>Depreciation and Amortization (% of Capex)</t>
  </si>
  <si>
    <t>COGS (% of Revenue)</t>
  </si>
  <si>
    <t>SG&amp;A (% of Revenue)</t>
  </si>
  <si>
    <t>Amortization of Goodwill and Intangibles (% of Revenue)</t>
  </si>
  <si>
    <t>Capex (% of Revenue)</t>
  </si>
  <si>
    <t>CapitalIQ</t>
  </si>
  <si>
    <t>Brown‑Forman Corporation</t>
  </si>
  <si>
    <t>BF.B</t>
  </si>
  <si>
    <t>The Boston Beer Company, Inc.</t>
  </si>
  <si>
    <t>KO</t>
  </si>
  <si>
    <t>2503</t>
  </si>
  <si>
    <t>ABEV 3</t>
  </si>
  <si>
    <t>2502</t>
  </si>
  <si>
    <t>600600</t>
  </si>
  <si>
    <t>291</t>
  </si>
  <si>
    <t>The Coca-Cola Company</t>
  </si>
  <si>
    <t>Kirin Holdings Company, Limited</t>
  </si>
  <si>
    <t>Ambev S.A.</t>
  </si>
  <si>
    <t>Asahi Group Holdings, Ltd.</t>
  </si>
  <si>
    <t>Tsingtao Brewery Company Limited</t>
  </si>
  <si>
    <t>China Resources Beer (Holdings) Company Limited</t>
  </si>
  <si>
    <t>A leading international producer and marketer of beer, wine, and spirits with operations in the U.S., Mexico, New Zealand, and Italy, building brands that people love to elevate human connections.</t>
  </si>
  <si>
    <t>An American family-controlled publicly traded company that manufactures, markets, and sells alcoholic beverages, enriching life by responsibly building fine quality beverage alcohol brands.</t>
  </si>
  <si>
    <t>One of the largest and most respected craft brewers in the US, producing and selling alcohol beverages including beers, hard seltzers, malt beverages, spirits, and hard cider throughout the United States and in selected international markets</t>
  </si>
  <si>
    <t>An American multinational corporation that manufactures, markets, and sells non-alcoholic beverages, including its flagship Coca-Cola brand, operating through a network of independent bottling partners, distributors, wholesalers, and retailers.</t>
  </si>
  <si>
    <t>A Danish multinational brewer producing and marketing beers such as Carlsberg, Tuborg, and Kronenbourg, with operations in more than 150 markets worldwide.</t>
  </si>
  <si>
    <t>A Japanese company engaged in the production and sale of alcoholic beverages like beer, as well as soft drinks, pharmaceuticals, and health science businesses.</t>
  </si>
  <si>
    <t>A Brazilian company that produces, distributes, and sells beer, draft beer, carbonated soft drinks, malt and food, other alcoholic beverages, and non-alcoholic and non-carbonated products in Brazil, Central America and Caribbean, Latin America South, and Canada.</t>
  </si>
  <si>
    <t>A Japanese beverage holding company that manufactures and sells beer, alcohol and non-alcohol beverages, and food products in Japan, Europe, Oceania, and Southeast Asia.</t>
  </si>
  <si>
    <t>China's second largest brewery, producing and exporting Tsingtao beer with about 15% of domestic market share and accounting for half of China's national beer exports.</t>
  </si>
  <si>
    <t>An investment holding company that manufactures, distributes, and sells beer products in Mainland China, offering its products under the Nong Li, Snow, and Jinsha brands.</t>
  </si>
  <si>
    <t>NYSE</t>
  </si>
  <si>
    <t>CPSE</t>
  </si>
  <si>
    <t>TSE</t>
  </si>
  <si>
    <t>BOVESPA</t>
  </si>
  <si>
    <t>SHSE</t>
  </si>
  <si>
    <t>SEHK</t>
  </si>
  <si>
    <t xml:space="preserve">LTM Net Income Margin % </t>
  </si>
  <si>
    <t xml:space="preserve">LTM EBITDA, 1 Yr Growth % </t>
  </si>
  <si>
    <t xml:space="preserve">LTM EBIT, 1 Yr Growth % </t>
  </si>
  <si>
    <t xml:space="preserve">LTM Net Income, 1 Yr Growth % </t>
  </si>
  <si>
    <t>LTM Total Debt/Capital %</t>
  </si>
  <si>
    <t xml:space="preserve">LTM Total Debt/EBITDA </t>
  </si>
  <si>
    <t xml:space="preserve">NTM LT EPS Growth Rate (Capital IQ) </t>
  </si>
  <si>
    <t>5 Year Beta</t>
  </si>
  <si>
    <t>Molson Coors Beverage Company</t>
  </si>
  <si>
    <t>It manufactures, markets, and sells beer and other malt beverage products in the Americas, Europe, the Middle East, Africa, and the Asia Pacific. The company offers flavored malt beverages including hard seltzers, craft, spirits, and ready to drink beverages.</t>
  </si>
  <si>
    <t>Our company</t>
  </si>
  <si>
    <t>CCU</t>
  </si>
  <si>
    <t>ABI</t>
  </si>
  <si>
    <t>HEIO</t>
  </si>
  <si>
    <t>SNSE</t>
  </si>
  <si>
    <t>ENXTBR</t>
  </si>
  <si>
    <t>ENXTAM</t>
  </si>
  <si>
    <t>Compañía Cervecerías Unidas S.A.</t>
  </si>
  <si>
    <t>Heineken Holding N.V.</t>
  </si>
  <si>
    <r>
      <rPr>
        <b/>
        <sz val="11"/>
        <rFont val="Times New Roman"/>
        <family val="1"/>
      </rPr>
      <t>Primary Global Brewer Peers (closest matches)</t>
    </r>
    <r>
      <rPr>
        <sz val="11"/>
        <rFont val="Times New Roman"/>
        <family val="1"/>
      </rPr>
      <t xml:space="preserve">
	1.	Anheuser-Busch InBev (ABI)
	2.	Heineken N.V.
	3.	Carlsberg A/S
	4.	Asahi Group Holdings
	5.	Ambev S.A.                                             </t>
    </r>
    <r>
      <rPr>
        <b/>
        <sz val="11"/>
        <rFont val="Times New Roman"/>
        <family val="1"/>
      </rPr>
      <t>North American Alcohol Peers</t>
    </r>
    <r>
      <rPr>
        <sz val="11"/>
        <rFont val="Times New Roman"/>
        <family val="1"/>
      </rPr>
      <t xml:space="preserve">
	6.	Constellation Brands
	7.	The Boston Beer Company (SAM).   </t>
    </r>
    <r>
      <rPr>
        <b/>
        <sz val="11"/>
        <rFont val="Times New Roman"/>
        <family val="1"/>
      </rPr>
      <t>Supplementary Beverage / Consumer Staples Peers (Cash Flow + Cost Structure)</t>
    </r>
    <r>
      <rPr>
        <sz val="11"/>
        <rFont val="Times New Roman"/>
        <family val="1"/>
      </rPr>
      <t xml:space="preserve">
	8.	Brown-Forman Corporation
	9.	Keurig Dr Pepper
	10.	Monster Beverage (high growth; useful to bracket valuation multiples)</t>
    </r>
  </si>
  <si>
    <t xml:space="preserve">Seeking Alpha, </t>
  </si>
  <si>
    <t>CapitalIQ, Morningstar</t>
  </si>
  <si>
    <t>CapitalIQ, Morningstar, 10-K</t>
  </si>
  <si>
    <t>Morningstar, 10-K</t>
  </si>
  <si>
    <t>ChatGPT, 10-K</t>
  </si>
  <si>
    <t>Compañía Cervecerías Unidas S.A., together with its subsidiaries, operates as a diversified beverage company in Chile, Argentina, Bolivia, Colombia, Paraguay, and Uruguay. It operates through three segments: Chile, International Business, and Wine.</t>
  </si>
  <si>
    <t>Anheuser-Busch InBev SA/NV produces, distributes, exports, markets, and sells beer in North America, Middle Americas, South America, Europe, the Middle East, Africa, and the Asia Pacific. The company also provides spirits-based ready-to-drink and non-alcohol beverages.</t>
  </si>
  <si>
    <t xml:space="preserve">Heineken Holding N.V., together with its subsidiaries, engages in brewing and selling beer and cider in the Netherlands and internationally. The company’s portfolio consists of approximately 340 international, regional, local, and specialty beers and ciders. </t>
  </si>
  <si>
    <t>CapitalIQ, Seeking Alpha</t>
  </si>
  <si>
    <t>Molson Coors Company</t>
  </si>
  <si>
    <t>Molson Coors Valuation with Public Comparables</t>
  </si>
  <si>
    <t>Molson Coors Additional Information:</t>
  </si>
  <si>
    <t>Net Debt=</t>
  </si>
  <si>
    <t>Perferred Stock=</t>
  </si>
  <si>
    <t>NCI=</t>
  </si>
  <si>
    <t>Inputs</t>
  </si>
  <si>
    <t>Methodology</t>
  </si>
  <si>
    <t>Dif.</t>
  </si>
  <si>
    <t>52 week high-low</t>
  </si>
  <si>
    <t>Exit Multiple Step</t>
  </si>
  <si>
    <t>Exit Multiple</t>
  </si>
  <si>
    <t>Molson Coors Valuation Football Field Chart</t>
  </si>
  <si>
    <t>Molson Coors Relative Valuation Football Field Chart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</si>
</sst>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6">
    <numFmt numFmtId="5" formatCode="&quot;$&quot;#,##0_);\(&quot;$&quot;#,##0\)"/>
    <numFmt numFmtId="7" formatCode="&quot;$&quot;#,##0.00_);\(&quot;$&quot;#,##0.00\)"/>
    <numFmt numFmtId="8" formatCode="&quot;$&quot;#,##0.00_);[Red]\(&quot;$&quot;#,##0.00\)"/>
    <numFmt numFmtId="42" formatCode="_(&quot;$&quot;* #,##0_);_(&quot;$&quot;* \(#,##0\);_(&quot;$&quot;* &quot;-&quot;_);_(@_)"/>
    <numFmt numFmtId="44" formatCode="_(&quot;$&quot;* #,##0.00_);_(&quot;$&quot;* \(#,##0.00\);_(&quot;$&quot;* &quot;-&quot;??_);_(@_)"/>
    <numFmt numFmtId="43" formatCode="_(* #,##0.00_);_(* \(#,##0.00\);_(* &quot;-&quot;??_);_(@_)"/>
    <numFmt numFmtId="164" formatCode="_(* #,##0.0_);_(* \(#,##0.0\)_)\ ;_(* 0_)"/>
    <numFmt numFmtId="165" formatCode="mmm\-dd\-yyyy"/>
    <numFmt numFmtId="166" formatCode="_(#,##0.0%_);_(\(#,##0.0%\)_);_(#,##0.0%_)"/>
    <numFmt numFmtId="167" formatCode="_(* #,##0.0##_);_(* \(#,##0.0##\)_)\ ;_(* 0_)"/>
    <numFmt numFmtId="168" formatCode="_(&quot;$&quot;#,##0.0#_);_(\(&quot;$&quot;#,##0.0#\)_);_(&quot;$&quot;&quot; - &quot;_)"/>
    <numFmt numFmtId="169" formatCode="_(* #,##0.0#_);_(* \(#,##0.0#\)_)\ ;_(* 0_)"/>
    <numFmt numFmtId="170" formatCode="_(* #,##0_);_(* \(#,##0\)_)\ ;_(* 0_)"/>
    <numFmt numFmtId="171" formatCode="_(0.0%_);\(0.0%\)"/>
    <numFmt numFmtId="172" formatCode="#,##0.0\x"/>
    <numFmt numFmtId="173" formatCode="_(0.0\x_);\(0.0\x\)"/>
    <numFmt numFmtId="175" formatCode="&quot;$&quot;#,##0.0_);\(&quot;$&quot;#,##0.0\)"/>
    <numFmt numFmtId="176" formatCode="0.0%_);\(0.0%\)"/>
    <numFmt numFmtId="177" formatCode="0.0\x"/>
    <numFmt numFmtId="178" formatCode="0.0%"/>
    <numFmt numFmtId="179" formatCode="#,##0.0_);\(#,##0.0\)"/>
    <numFmt numFmtId="180" formatCode="[$-409]d\-mmm\-yy;@"/>
    <numFmt numFmtId="181" formatCode="0&quot;A&quot;"/>
    <numFmt numFmtId="182" formatCode="0&quot;E&quot;"/>
    <numFmt numFmtId="183" formatCode="_(* #,##0.0_);_(* \(#,##0.0\);_(* &quot;-&quot;?_);_(@_)"/>
    <numFmt numFmtId="184" formatCode="_(&quot;$&quot;* #,##0.0_);_(&quot;$&quot;* \(#,##0.0\);_(&quot;$&quot;* &quot;-&quot;??_);_(@_)"/>
    <numFmt numFmtId="185" formatCode="_(* #,##0.0_);_(* \(#,##0.0\);_(* &quot;-&quot;??_);_(@_)"/>
    <numFmt numFmtId="186" formatCode="#,##0.000_);\(#,##0.000\)"/>
    <numFmt numFmtId="187" formatCode="0.0"/>
    <numFmt numFmtId="188" formatCode="_(&quot;$&quot;* #,##0.0_);_(&quot;$&quot;* \(#,##0.0\);_(&quot;$&quot;* &quot;-&quot;?_);_(@_)"/>
    <numFmt numFmtId="189" formatCode="&quot;$&quot;#,##0.00"/>
    <numFmt numFmtId="190" formatCode="&quot;$&quot;#,##0.0_);[Red]\(&quot;$&quot;#,##0.0\)"/>
    <numFmt numFmtId="191" formatCode="_(&quot;$&quot;* #,##0.0_);_(&quot;$&quot;* \(#,##0.0\);_(&quot;$&quot;* &quot;-&quot;_);_(@_)"/>
    <numFmt numFmtId="192" formatCode="_(#,##0.00%_);_(\(#,##0.00%\)_);_(#,##0.00%_)"/>
    <numFmt numFmtId="193" formatCode="_(\ #,##0.0#_);_(\(\ #,##0.0#\)_);_(\ &quot; - &quot;_)"/>
    <numFmt numFmtId="194" formatCode="0.0\x_);\(0.0\x\)"/>
  </numFmts>
  <fonts count="36" x14ac:knownFonts="1">
    <font>
      <sz val="12"/>
      <color theme="1"/>
      <name val="Aptos Narrow"/>
      <family val="2"/>
      <scheme val="minor"/>
    </font>
    <font>
      <sz val="11"/>
      <color theme="1"/>
      <name val="Aptos Narrow"/>
      <family val="2"/>
      <scheme val="minor"/>
    </font>
    <font>
      <sz val="10"/>
      <name val="Arial"/>
      <family val="2"/>
    </font>
    <font>
      <sz val="8"/>
      <name val="Arial"/>
      <family val="2"/>
    </font>
    <font>
      <sz val="8"/>
      <color indexed="8"/>
      <name val="Arial"/>
      <family val="2"/>
    </font>
    <font>
      <b/>
      <sz val="8"/>
      <color indexed="8"/>
      <name val="Arial"/>
      <family val="2"/>
    </font>
    <font>
      <b/>
      <u val="double"/>
      <sz val="8"/>
      <color indexed="8"/>
      <name val="Arial"/>
      <family val="2"/>
    </font>
    <font>
      <b/>
      <i/>
      <sz val="8"/>
      <color indexed="8"/>
      <name val="Arial"/>
      <family val="2"/>
    </font>
    <font>
      <sz val="1"/>
      <color indexed="9"/>
      <name val="Symbol"/>
      <charset val="2"/>
    </font>
    <font>
      <b/>
      <sz val="8"/>
      <color indexed="9"/>
      <name val="Verdana"/>
      <family val="2"/>
    </font>
    <font>
      <b/>
      <sz val="8"/>
      <name val="Arial"/>
      <family val="2"/>
    </font>
    <font>
      <i/>
      <sz val="8"/>
      <name val="Arial"/>
      <family val="2"/>
    </font>
    <font>
      <b/>
      <sz val="13"/>
      <color indexed="8"/>
      <name val="Verdana"/>
      <family val="2"/>
    </font>
    <font>
      <b/>
      <u/>
      <sz val="8"/>
      <color indexed="8"/>
      <name val="Arial"/>
      <family val="2"/>
    </font>
    <font>
      <sz val="12"/>
      <color theme="1"/>
      <name val="Aptos Narrow"/>
      <family val="2"/>
      <scheme val="minor"/>
    </font>
    <font>
      <sz val="11"/>
      <color theme="1"/>
      <name val="Times New Roman"/>
      <family val="1"/>
    </font>
    <font>
      <sz val="11"/>
      <color theme="4"/>
      <name val="Times New Roman"/>
      <family val="1"/>
    </font>
    <font>
      <sz val="11"/>
      <name val="Times New Roman"/>
      <family val="1"/>
    </font>
    <font>
      <sz val="11"/>
      <color rgb="FF0070C0"/>
      <name val="Times New Roman"/>
      <family val="1"/>
    </font>
    <font>
      <sz val="10"/>
      <name val="Arial"/>
      <family val="2"/>
    </font>
    <font>
      <b/>
      <sz val="11"/>
      <color theme="0"/>
      <name val="Times New Roman"/>
      <family val="1"/>
    </font>
    <font>
      <b/>
      <i/>
      <sz val="11"/>
      <color theme="0"/>
      <name val="Times New Roman"/>
      <family val="1"/>
    </font>
    <font>
      <b/>
      <sz val="11"/>
      <color theme="1"/>
      <name val="Times New Roman"/>
      <family val="1"/>
    </font>
    <font>
      <b/>
      <sz val="11"/>
      <name val="Times New Roman"/>
      <family val="1"/>
    </font>
    <font>
      <b/>
      <sz val="11"/>
      <color rgb="FF0070C0"/>
      <name val="Times New Roman"/>
      <family val="1"/>
    </font>
    <font>
      <i/>
      <sz val="11"/>
      <color theme="1"/>
      <name val="Times New Roman"/>
      <family val="1"/>
    </font>
    <font>
      <sz val="11"/>
      <color indexed="8"/>
      <name val="Times New Roman"/>
      <family val="1"/>
    </font>
    <font>
      <sz val="11"/>
      <color rgb="FF000000"/>
      <name val="Times New Roman"/>
      <family val="1"/>
    </font>
    <font>
      <sz val="11"/>
      <color rgb="FF00B050"/>
      <name val="Times New Roman"/>
      <family val="1"/>
    </font>
    <font>
      <sz val="11"/>
      <color theme="9"/>
      <name val="Times New Roman"/>
      <family val="1"/>
    </font>
    <font>
      <b/>
      <sz val="11"/>
      <color rgb="FF000000"/>
      <name val="Times New Roman"/>
      <family val="1"/>
    </font>
    <font>
      <b/>
      <sz val="10"/>
      <name val="Arial"/>
      <family val="2"/>
    </font>
    <font>
      <sz val="11"/>
      <color theme="8"/>
      <name val="Times New Roman"/>
      <family val="1"/>
    </font>
    <font>
      <sz val="11"/>
      <color rgb="FF002060"/>
      <name val="Times New Roman"/>
      <family val="1"/>
    </font>
    <font>
      <b/>
      <sz val="20"/>
      <color theme="1"/>
      <name val="Times New Roman"/>
      <family val="1"/>
    </font>
    <font>
      <b/>
      <sz val="11"/>
      <color theme="1"/>
      <name val="Aptos Narrow"/>
      <scheme val="minor"/>
    </font>
  </fonts>
  <fills count="9">
    <fill>
      <patternFill patternType="none"/>
    </fill>
    <fill>
      <patternFill patternType="gray125"/>
    </fill>
    <fill>
      <patternFill patternType="solid">
        <fgColor indexed="56"/>
        <bgColor indexed="64"/>
      </patternFill>
    </fill>
    <fill>
      <patternFill patternType="solid">
        <fgColor theme="5" tint="0.59999389629810485"/>
        <bgColor indexed="64"/>
      </patternFill>
    </fill>
    <fill>
      <patternFill patternType="solid">
        <fgColor rgb="FF002060"/>
        <bgColor indexed="64"/>
      </patternFill>
    </fill>
    <fill>
      <patternFill patternType="solid">
        <fgColor theme="3" tint="0.749992370372631"/>
        <bgColor indexed="64"/>
      </patternFill>
    </fill>
    <fill>
      <patternFill patternType="solid">
        <fgColor rgb="FF92D050"/>
        <bgColor indexed="64"/>
      </patternFill>
    </fill>
    <fill>
      <patternFill patternType="solid">
        <fgColor rgb="FFFF0000"/>
        <bgColor indexed="64"/>
      </patternFill>
    </fill>
    <fill>
      <patternFill patternType="solid">
        <fgColor rgb="FFFFFF00"/>
        <bgColor indexed="64"/>
      </patternFill>
    </fill>
  </fills>
  <borders count="21">
    <border>
      <left/>
      <right/>
      <top/>
      <bottom/>
      <diagonal/>
    </border>
    <border>
      <left/>
      <right/>
      <top style="thin">
        <color indexed="8"/>
      </top>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top style="thin">
        <color auto="1"/>
      </top>
      <bottom/>
      <diagonal/>
    </border>
    <border>
      <left/>
      <right/>
      <top/>
      <bottom style="medium">
        <color auto="1"/>
      </bottom>
      <diagonal/>
    </border>
    <border>
      <left/>
      <right style="thin">
        <color auto="1"/>
      </right>
      <top/>
      <bottom style="thin">
        <color auto="1"/>
      </bottom>
      <diagonal/>
    </border>
    <border>
      <left/>
      <right/>
      <top/>
      <bottom style="thin">
        <color auto="1"/>
      </bottom>
      <diagonal/>
    </border>
    <border>
      <left/>
      <right style="thin">
        <color indexed="64"/>
      </right>
      <top/>
      <bottom/>
      <diagonal/>
    </border>
    <border>
      <left style="thin">
        <color auto="1"/>
      </left>
      <right/>
      <top/>
      <bottom/>
      <diagonal/>
    </border>
    <border>
      <left/>
      <right style="thin">
        <color indexed="64"/>
      </right>
      <top style="thin">
        <color auto="1"/>
      </top>
      <bottom/>
      <diagonal/>
    </border>
    <border>
      <left/>
      <right/>
      <top style="thin">
        <color indexed="64"/>
      </top>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right style="thin">
        <color indexed="64"/>
      </right>
      <top style="thin">
        <color indexed="64"/>
      </top>
      <bottom/>
      <diagonal/>
    </border>
    <border>
      <left/>
      <right/>
      <top style="thin">
        <color indexed="64"/>
      </top>
      <bottom/>
      <diagonal/>
    </border>
    <border>
      <left/>
      <right style="thin">
        <color indexed="64"/>
      </right>
      <top style="thin">
        <color indexed="64"/>
      </top>
      <bottom/>
      <diagonal/>
    </border>
    <border>
      <left style="thin">
        <color auto="1"/>
      </left>
      <right style="thin">
        <color indexed="64"/>
      </right>
      <top style="thin">
        <color indexed="64"/>
      </top>
      <bottom/>
      <diagonal/>
    </border>
    <border>
      <left/>
      <right style="thin">
        <color indexed="64"/>
      </right>
      <top style="thin">
        <color indexed="64"/>
      </top>
      <bottom/>
      <diagonal/>
    </border>
    <border>
      <left/>
      <right/>
      <top style="thin">
        <color indexed="64"/>
      </top>
      <bottom/>
      <diagonal/>
    </border>
  </borders>
  <cellStyleXfs count="12">
    <xf numFmtId="0" fontId="0" fillId="0" borderId="0"/>
    <xf numFmtId="0" fontId="2" fillId="0" borderId="0"/>
    <xf numFmtId="0" fontId="8" fillId="0" borderId="0" applyAlignment="0"/>
    <xf numFmtId="0" fontId="1" fillId="0" borderId="0"/>
    <xf numFmtId="0" fontId="19" fillId="0" borderId="0" applyFill="0"/>
    <xf numFmtId="0" fontId="1" fillId="0" borderId="0"/>
    <xf numFmtId="44" fontId="14" fillId="0" borderId="0" applyFont="0" applyFill="0" applyBorder="0" applyAlignment="0" applyProtection="0"/>
    <xf numFmtId="0" fontId="1" fillId="0" borderId="0"/>
    <xf numFmtId="44" fontId="2" fillId="0" borderId="0" applyFont="0" applyFill="0" applyBorder="0" applyAlignment="0" applyProtection="0"/>
    <xf numFmtId="0" fontId="2" fillId="0" borderId="0" applyFill="0"/>
    <xf numFmtId="0" fontId="1" fillId="0" borderId="0"/>
    <xf numFmtId="0" fontId="2" fillId="0" borderId="0" applyFill="0"/>
  </cellStyleXfs>
  <cellXfs count="308">
    <xf numFmtId="0" fontId="0" fillId="0" borderId="0" xfId="0"/>
    <xf numFmtId="0" fontId="3" fillId="0" borderId="0" xfId="1" applyFont="1"/>
    <xf numFmtId="0" fontId="4" fillId="0" borderId="0" xfId="1" applyFont="1" applyAlignment="1">
      <alignment horizontal="center" vertical="center"/>
    </xf>
    <xf numFmtId="0" fontId="3" fillId="0" borderId="0" xfId="1" applyFont="1" applyAlignment="1">
      <alignment vertical="top" wrapText="1"/>
    </xf>
    <xf numFmtId="0" fontId="3" fillId="0" borderId="0" xfId="1" applyFont="1" applyAlignment="1">
      <alignment vertical="top"/>
    </xf>
    <xf numFmtId="0" fontId="4" fillId="0" borderId="0" xfId="1" applyFont="1" applyAlignment="1">
      <alignment horizontal="left" vertical="top"/>
    </xf>
    <xf numFmtId="164" fontId="5" fillId="0" borderId="0" xfId="1" applyNumberFormat="1" applyFont="1" applyAlignment="1">
      <alignment horizontal="right" vertical="top" wrapText="1"/>
    </xf>
    <xf numFmtId="0" fontId="5" fillId="0" borderId="0" xfId="1" applyFont="1" applyAlignment="1">
      <alignment horizontal="left" vertical="top"/>
    </xf>
    <xf numFmtId="164" fontId="4" fillId="0" borderId="0" xfId="1" applyNumberFormat="1" applyFont="1" applyAlignment="1">
      <alignment horizontal="right" vertical="top" wrapText="1"/>
    </xf>
    <xf numFmtId="49" fontId="4" fillId="0" borderId="0" xfId="1" applyNumberFormat="1" applyFont="1" applyAlignment="1">
      <alignment horizontal="right" vertical="top" wrapText="1"/>
    </xf>
    <xf numFmtId="165" fontId="4" fillId="0" borderId="0" xfId="1" applyNumberFormat="1" applyFont="1" applyAlignment="1">
      <alignment horizontal="right" vertical="top" wrapText="1"/>
    </xf>
    <xf numFmtId="166" fontId="4" fillId="0" borderId="0" xfId="1" applyNumberFormat="1" applyFont="1" applyAlignment="1">
      <alignment horizontal="right" vertical="top" wrapText="1"/>
    </xf>
    <xf numFmtId="167" fontId="4" fillId="0" borderId="0" xfId="1" applyNumberFormat="1" applyFont="1" applyAlignment="1">
      <alignment horizontal="right" vertical="top" wrapText="1"/>
    </xf>
    <xf numFmtId="168" fontId="4" fillId="0" borderId="0" xfId="1" applyNumberFormat="1" applyFont="1" applyAlignment="1">
      <alignment horizontal="right" vertical="top" wrapText="1"/>
    </xf>
    <xf numFmtId="169" fontId="4" fillId="0" borderId="0" xfId="1" applyNumberFormat="1" applyFont="1" applyAlignment="1">
      <alignment horizontal="right" vertical="top" wrapText="1"/>
    </xf>
    <xf numFmtId="164" fontId="6" fillId="0" borderId="1" xfId="1" applyNumberFormat="1" applyFont="1" applyBorder="1" applyAlignment="1">
      <alignment horizontal="right" vertical="top" wrapText="1"/>
    </xf>
    <xf numFmtId="164" fontId="5" fillId="0" borderId="1" xfId="1" applyNumberFormat="1" applyFont="1" applyBorder="1" applyAlignment="1">
      <alignment horizontal="right" vertical="top" wrapText="1"/>
    </xf>
    <xf numFmtId="0" fontId="8" fillId="0" borderId="0" xfId="2" applyAlignment="1"/>
    <xf numFmtId="0" fontId="9" fillId="2" borderId="0" xfId="1" applyFont="1" applyFill="1"/>
    <xf numFmtId="0" fontId="4" fillId="0" borderId="0" xfId="1" applyFont="1" applyAlignment="1">
      <alignment horizontal="left" vertical="center"/>
    </xf>
    <xf numFmtId="0" fontId="10" fillId="0" borderId="0" xfId="1" applyFont="1"/>
    <xf numFmtId="49" fontId="3" fillId="0" borderId="0" xfId="1" applyNumberFormat="1" applyFont="1"/>
    <xf numFmtId="0" fontId="11" fillId="0" borderId="0" xfId="1" applyFont="1" applyAlignment="1">
      <alignment wrapText="1"/>
    </xf>
    <xf numFmtId="0" fontId="12" fillId="0" borderId="0" xfId="1" applyFont="1"/>
    <xf numFmtId="170" fontId="4" fillId="0" borderId="0" xfId="1" applyNumberFormat="1" applyFont="1" applyAlignment="1">
      <alignment horizontal="right" vertical="top" wrapText="1"/>
    </xf>
    <xf numFmtId="164" fontId="6" fillId="0" borderId="0" xfId="1" applyNumberFormat="1" applyFont="1" applyAlignment="1">
      <alignment horizontal="right" vertical="top" wrapText="1"/>
    </xf>
    <xf numFmtId="164" fontId="13" fillId="0" borderId="0" xfId="1" applyNumberFormat="1" applyFont="1" applyAlignment="1">
      <alignment horizontal="right" vertical="top" wrapText="1"/>
    </xf>
    <xf numFmtId="0" fontId="5" fillId="3" borderId="0" xfId="1" applyFont="1" applyFill="1" applyAlignment="1">
      <alignment wrapText="1"/>
    </xf>
    <xf numFmtId="0" fontId="5" fillId="3" borderId="0" xfId="1" applyFont="1" applyFill="1" applyAlignment="1">
      <alignment horizontal="right" wrapText="1"/>
    </xf>
    <xf numFmtId="0" fontId="7" fillId="3" borderId="0" xfId="1" applyFont="1" applyFill="1" applyAlignment="1">
      <alignment wrapText="1"/>
    </xf>
    <xf numFmtId="0" fontId="7" fillId="3" borderId="0" xfId="1" applyFont="1" applyFill="1" applyAlignment="1">
      <alignment horizontal="right" wrapText="1"/>
    </xf>
    <xf numFmtId="0" fontId="4" fillId="0" borderId="0" xfId="1" applyFont="1" applyAlignment="1">
      <alignment horizontal="center" vertical="center" wrapText="1"/>
    </xf>
    <xf numFmtId="0" fontId="0" fillId="0" borderId="0" xfId="0" applyAlignment="1">
      <alignment horizontal="centerContinuous"/>
    </xf>
    <xf numFmtId="0" fontId="15" fillId="0" borderId="0" xfId="3" applyFont="1"/>
    <xf numFmtId="175" fontId="15" fillId="0" borderId="0" xfId="3" applyNumberFormat="1" applyFont="1"/>
    <xf numFmtId="10" fontId="15" fillId="0" borderId="0" xfId="3" applyNumberFormat="1" applyFont="1"/>
    <xf numFmtId="0" fontId="15" fillId="0" borderId="0" xfId="3" applyFont="1" applyAlignment="1">
      <alignment horizontal="right"/>
    </xf>
    <xf numFmtId="176" fontId="16" fillId="0" borderId="0" xfId="3" applyNumberFormat="1" applyFont="1"/>
    <xf numFmtId="176" fontId="17" fillId="0" borderId="0" xfId="3" applyNumberFormat="1" applyFont="1"/>
    <xf numFmtId="0" fontId="15" fillId="0" borderId="0" xfId="3" applyFont="1" applyAlignment="1">
      <alignment horizontal="centerContinuous"/>
    </xf>
    <xf numFmtId="177" fontId="17" fillId="0" borderId="0" xfId="3" applyNumberFormat="1" applyFont="1"/>
    <xf numFmtId="177" fontId="18" fillId="0" borderId="0" xfId="3" applyNumberFormat="1" applyFont="1"/>
    <xf numFmtId="39" fontId="15" fillId="0" borderId="0" xfId="3" applyNumberFormat="1" applyFont="1"/>
    <xf numFmtId="39" fontId="18" fillId="0" borderId="0" xfId="4" applyNumberFormat="1" applyFont="1" applyFill="1"/>
    <xf numFmtId="0" fontId="20" fillId="4" borderId="0" xfId="3" applyFont="1" applyFill="1" applyAlignment="1">
      <alignment horizontal="centerContinuous"/>
    </xf>
    <xf numFmtId="0" fontId="21" fillId="4" borderId="0" xfId="3" applyFont="1" applyFill="1" applyAlignment="1">
      <alignment horizontal="centerContinuous"/>
    </xf>
    <xf numFmtId="0" fontId="15" fillId="0" borderId="0" xfId="4" applyFont="1"/>
    <xf numFmtId="39" fontId="22" fillId="0" borderId="0" xfId="4" applyNumberFormat="1" applyFont="1"/>
    <xf numFmtId="39" fontId="15" fillId="0" borderId="0" xfId="4" applyNumberFormat="1" applyFont="1"/>
    <xf numFmtId="0" fontId="22" fillId="0" borderId="0" xfId="4" applyFont="1"/>
    <xf numFmtId="178" fontId="17" fillId="0" borderId="0" xfId="4" applyNumberFormat="1" applyFont="1"/>
    <xf numFmtId="178" fontId="15" fillId="0" borderId="0" xfId="4" applyNumberFormat="1" applyFont="1"/>
    <xf numFmtId="179" fontId="15" fillId="0" borderId="0" xfId="4" applyNumberFormat="1" applyFont="1"/>
    <xf numFmtId="2" fontId="15" fillId="0" borderId="0" xfId="4" applyNumberFormat="1" applyFont="1"/>
    <xf numFmtId="179" fontId="18" fillId="0" borderId="0" xfId="4" applyNumberFormat="1" applyFont="1" applyFill="1"/>
    <xf numFmtId="179" fontId="18" fillId="0" borderId="0" xfId="4" applyNumberFormat="1" applyFont="1"/>
    <xf numFmtId="0" fontId="22" fillId="0" borderId="5" xfId="4" applyFont="1" applyBorder="1" applyAlignment="1">
      <alignment horizontal="center"/>
    </xf>
    <xf numFmtId="180" fontId="22" fillId="0" borderId="5" xfId="4" applyNumberFormat="1" applyFont="1" applyBorder="1" applyAlignment="1">
      <alignment horizontal="center"/>
    </xf>
    <xf numFmtId="0" fontId="22" fillId="0" borderId="5" xfId="4" applyFont="1" applyBorder="1"/>
    <xf numFmtId="0" fontId="22" fillId="0" borderId="0" xfId="4" applyFont="1" applyFill="1" applyAlignment="1">
      <alignment horizontal="center"/>
    </xf>
    <xf numFmtId="0" fontId="22" fillId="0" borderId="0" xfId="4" applyFont="1" applyAlignment="1">
      <alignment horizontal="center"/>
    </xf>
    <xf numFmtId="9" fontId="15" fillId="0" borderId="0" xfId="3" applyNumberFormat="1" applyFont="1"/>
    <xf numFmtId="0" fontId="22" fillId="0" borderId="0" xfId="3" applyFont="1"/>
    <xf numFmtId="0" fontId="20" fillId="0" borderId="0" xfId="3" applyFont="1" applyAlignment="1">
      <alignment horizontal="centerContinuous"/>
    </xf>
    <xf numFmtId="0" fontId="21" fillId="0" borderId="0" xfId="3" applyFont="1" applyAlignment="1">
      <alignment horizontal="centerContinuous"/>
    </xf>
    <xf numFmtId="175" fontId="15" fillId="0" borderId="6" xfId="3" applyNumberFormat="1" applyFont="1" applyBorder="1"/>
    <xf numFmtId="0" fontId="15" fillId="0" borderId="7" xfId="3" applyFont="1" applyBorder="1"/>
    <xf numFmtId="0" fontId="15" fillId="0" borderId="3" xfId="3" applyFont="1" applyBorder="1"/>
    <xf numFmtId="0" fontId="15" fillId="0" borderId="9" xfId="3" applyFont="1" applyBorder="1"/>
    <xf numFmtId="0" fontId="15" fillId="0" borderId="10" xfId="3" applyFont="1" applyBorder="1"/>
    <xf numFmtId="0" fontId="15" fillId="0" borderId="11" xfId="3" applyFont="1" applyBorder="1"/>
    <xf numFmtId="0" fontId="22" fillId="0" borderId="4" xfId="3" applyFont="1" applyBorder="1"/>
    <xf numFmtId="176" fontId="15" fillId="0" borderId="0" xfId="3" applyNumberFormat="1" applyFont="1"/>
    <xf numFmtId="0" fontId="22" fillId="0" borderId="0" xfId="3" applyFont="1" applyAlignment="1">
      <alignment horizontal="center"/>
    </xf>
    <xf numFmtId="0" fontId="22" fillId="0" borderId="10" xfId="3" applyFont="1" applyBorder="1" applyAlignment="1">
      <alignment horizontal="center"/>
    </xf>
    <xf numFmtId="181" fontId="23" fillId="0" borderId="0" xfId="3" applyNumberFormat="1" applyFont="1" applyAlignment="1">
      <alignment horizontal="center"/>
    </xf>
    <xf numFmtId="0" fontId="22" fillId="0" borderId="12" xfId="3" applyFont="1" applyBorder="1" applyAlignment="1">
      <alignment horizontal="centerContinuous"/>
    </xf>
    <xf numFmtId="0" fontId="22" fillId="0" borderId="13" xfId="3" applyFont="1" applyBorder="1" applyAlignment="1">
      <alignment horizontal="centerContinuous"/>
    </xf>
    <xf numFmtId="0" fontId="22" fillId="0" borderId="14" xfId="3" applyFont="1" applyBorder="1" applyAlignment="1">
      <alignment horizontal="centerContinuous"/>
    </xf>
    <xf numFmtId="179" fontId="15" fillId="0" borderId="0" xfId="3" applyNumberFormat="1" applyFont="1"/>
    <xf numFmtId="5" fontId="15" fillId="0" borderId="0" xfId="3" applyNumberFormat="1" applyFont="1"/>
    <xf numFmtId="0" fontId="15" fillId="0" borderId="6" xfId="3" applyFont="1" applyBorder="1"/>
    <xf numFmtId="0" fontId="15" fillId="0" borderId="8" xfId="3" applyFont="1" applyBorder="1"/>
    <xf numFmtId="0" fontId="23" fillId="0" borderId="0" xfId="3" applyFont="1" applyAlignment="1">
      <alignment horizontal="center"/>
    </xf>
    <xf numFmtId="179" fontId="17" fillId="0" borderId="0" xfId="3" applyNumberFormat="1" applyFont="1"/>
    <xf numFmtId="9" fontId="18" fillId="0" borderId="0" xfId="3" applyNumberFormat="1" applyFont="1"/>
    <xf numFmtId="0" fontId="22" fillId="0" borderId="11" xfId="3" applyFont="1" applyBorder="1"/>
    <xf numFmtId="182" fontId="22" fillId="0" borderId="11" xfId="3" applyNumberFormat="1" applyFont="1" applyBorder="1" applyAlignment="1">
      <alignment horizontal="center"/>
    </xf>
    <xf numFmtId="181" fontId="22" fillId="0" borderId="10" xfId="3" applyNumberFormat="1" applyFont="1" applyBorder="1" applyAlignment="1">
      <alignment horizontal="center"/>
    </xf>
    <xf numFmtId="181" fontId="22" fillId="0" borderId="11" xfId="3" applyNumberFormat="1" applyFont="1" applyBorder="1" applyAlignment="1">
      <alignment horizontal="center"/>
    </xf>
    <xf numFmtId="181" fontId="24" fillId="0" borderId="11" xfId="3" applyNumberFormat="1" applyFont="1" applyBorder="1" applyAlignment="1">
      <alignment horizontal="center"/>
    </xf>
    <xf numFmtId="0" fontId="25" fillId="0" borderId="0" xfId="3" applyFont="1"/>
    <xf numFmtId="14" fontId="15" fillId="0" borderId="6" xfId="3" applyNumberFormat="1" applyFont="1" applyBorder="1" applyAlignment="1">
      <alignment horizontal="left"/>
    </xf>
    <xf numFmtId="0" fontId="15" fillId="0" borderId="8" xfId="3" applyFont="1" applyBorder="1" applyAlignment="1">
      <alignment horizontal="left"/>
    </xf>
    <xf numFmtId="0" fontId="15" fillId="0" borderId="10" xfId="3" applyFont="1" applyBorder="1" applyAlignment="1">
      <alignment horizontal="left"/>
    </xf>
    <xf numFmtId="0" fontId="15" fillId="0" borderId="4" xfId="3" applyFont="1" applyBorder="1"/>
    <xf numFmtId="0" fontId="26" fillId="0" borderId="0" xfId="1" applyFont="1" applyAlignment="1">
      <alignment horizontal="left" vertical="top"/>
    </xf>
    <xf numFmtId="0" fontId="27" fillId="0" borderId="0" xfId="3" applyFont="1"/>
    <xf numFmtId="0" fontId="15" fillId="0" borderId="0" xfId="5" applyFont="1"/>
    <xf numFmtId="171" fontId="15" fillId="0" borderId="0" xfId="3" applyNumberFormat="1" applyFont="1"/>
    <xf numFmtId="171" fontId="15" fillId="0" borderId="8" xfId="3" applyNumberFormat="1" applyFont="1" applyBorder="1"/>
    <xf numFmtId="0" fontId="15" fillId="0" borderId="16" xfId="3" applyFont="1" applyBorder="1"/>
    <xf numFmtId="0" fontId="22" fillId="0" borderId="16" xfId="3" applyFont="1" applyBorder="1"/>
    <xf numFmtId="176" fontId="18" fillId="0" borderId="0" xfId="3" applyNumberFormat="1" applyFont="1"/>
    <xf numFmtId="175" fontId="28" fillId="0" borderId="0" xfId="3" applyNumberFormat="1" applyFont="1"/>
    <xf numFmtId="175" fontId="28" fillId="0" borderId="8" xfId="3" applyNumberFormat="1" applyFont="1" applyBorder="1"/>
    <xf numFmtId="179" fontId="28" fillId="0" borderId="0" xfId="3" applyNumberFormat="1" applyFont="1"/>
    <xf numFmtId="179" fontId="23" fillId="0" borderId="16" xfId="3" applyNumberFormat="1" applyFont="1" applyBorder="1"/>
    <xf numFmtId="179" fontId="23" fillId="0" borderId="15" xfId="3" applyNumberFormat="1" applyFont="1" applyBorder="1"/>
    <xf numFmtId="179" fontId="17" fillId="0" borderId="8" xfId="3" applyNumberFormat="1" applyFont="1" applyBorder="1"/>
    <xf numFmtId="179" fontId="17" fillId="0" borderId="16" xfId="3" applyNumberFormat="1" applyFont="1" applyBorder="1"/>
    <xf numFmtId="179" fontId="17" fillId="0" borderId="15" xfId="3" applyNumberFormat="1" applyFont="1" applyBorder="1"/>
    <xf numFmtId="175" fontId="23" fillId="0" borderId="0" xfId="3" applyNumberFormat="1" applyFont="1"/>
    <xf numFmtId="175" fontId="23" fillId="0" borderId="8" xfId="3" applyNumberFormat="1" applyFont="1" applyBorder="1"/>
    <xf numFmtId="179" fontId="23" fillId="0" borderId="0" xfId="3" applyNumberFormat="1" applyFont="1"/>
    <xf numFmtId="179" fontId="23" fillId="0" borderId="7" xfId="3" applyNumberFormat="1" applyFont="1" applyBorder="1"/>
    <xf numFmtId="179" fontId="23" fillId="0" borderId="6" xfId="3" applyNumberFormat="1" applyFont="1" applyBorder="1"/>
    <xf numFmtId="179" fontId="23" fillId="0" borderId="3" xfId="3" applyNumberFormat="1" applyFont="1" applyBorder="1"/>
    <xf numFmtId="183" fontId="17" fillId="0" borderId="0" xfId="3" applyNumberFormat="1" applyFont="1"/>
    <xf numFmtId="183" fontId="28" fillId="0" borderId="0" xfId="3" applyNumberFormat="1" applyFont="1"/>
    <xf numFmtId="183" fontId="28" fillId="0" borderId="8" xfId="3" applyNumberFormat="1" applyFont="1" applyBorder="1"/>
    <xf numFmtId="184" fontId="17" fillId="0" borderId="0" xfId="4" applyNumberFormat="1" applyFont="1"/>
    <xf numFmtId="185" fontId="17" fillId="0" borderId="0" xfId="4" applyNumberFormat="1" applyFont="1"/>
    <xf numFmtId="43" fontId="17" fillId="0" borderId="0" xfId="4" applyNumberFormat="1" applyFont="1"/>
    <xf numFmtId="0" fontId="17" fillId="0" borderId="0" xfId="4" applyFont="1"/>
    <xf numFmtId="183" fontId="17" fillId="0" borderId="0" xfId="4" applyNumberFormat="1" applyFont="1"/>
    <xf numFmtId="0" fontId="17" fillId="0" borderId="8" xfId="4" applyFont="1" applyBorder="1"/>
    <xf numFmtId="171" fontId="17" fillId="0" borderId="0" xfId="4" applyNumberFormat="1" applyFont="1"/>
    <xf numFmtId="171" fontId="17" fillId="0" borderId="8" xfId="4" applyNumberFormat="1" applyFont="1" applyBorder="1"/>
    <xf numFmtId="171" fontId="17" fillId="0" borderId="9" xfId="4" applyNumberFormat="1" applyFont="1" applyBorder="1"/>
    <xf numFmtId="179" fontId="15" fillId="0" borderId="8" xfId="3" applyNumberFormat="1" applyFont="1" applyBorder="1"/>
    <xf numFmtId="185" fontId="15" fillId="0" borderId="16" xfId="3" applyNumberFormat="1" applyFont="1" applyBorder="1"/>
    <xf numFmtId="183" fontId="28" fillId="0" borderId="7" xfId="6" applyNumberFormat="1" applyFont="1" applyBorder="1"/>
    <xf numFmtId="183" fontId="28" fillId="0" borderId="6" xfId="6" applyNumberFormat="1" applyFont="1" applyBorder="1"/>
    <xf numFmtId="44" fontId="17" fillId="0" borderId="0" xfId="0" applyNumberFormat="1" applyFont="1"/>
    <xf numFmtId="7" fontId="17" fillId="0" borderId="0" xfId="0" applyNumberFormat="1" applyFont="1"/>
    <xf numFmtId="42" fontId="29" fillId="0" borderId="0" xfId="3" applyNumberFormat="1" applyFont="1" applyAlignment="1">
      <alignment horizontal="right"/>
    </xf>
    <xf numFmtId="0" fontId="17" fillId="0" borderId="0" xfId="0" applyFont="1"/>
    <xf numFmtId="185" fontId="23" fillId="0" borderId="16" xfId="4" applyNumberFormat="1" applyFont="1" applyBorder="1"/>
    <xf numFmtId="9" fontId="15" fillId="0" borderId="0" xfId="4" applyNumberFormat="1" applyFont="1"/>
    <xf numFmtId="9" fontId="18" fillId="0" borderId="0" xfId="4" applyNumberFormat="1" applyFont="1"/>
    <xf numFmtId="0" fontId="15" fillId="0" borderId="0" xfId="4" applyFont="1" applyAlignment="1">
      <alignment horizontal="centerContinuous"/>
    </xf>
    <xf numFmtId="3" fontId="15" fillId="0" borderId="0" xfId="4" applyNumberFormat="1" applyFont="1"/>
    <xf numFmtId="187" fontId="15" fillId="0" borderId="0" xfId="3" applyNumberFormat="1" applyFont="1"/>
    <xf numFmtId="39" fontId="17" fillId="0" borderId="0" xfId="0" applyNumberFormat="1" applyFont="1"/>
    <xf numFmtId="0" fontId="18" fillId="0" borderId="0" xfId="4" applyFont="1"/>
    <xf numFmtId="2" fontId="18" fillId="0" borderId="0" xfId="4" applyNumberFormat="1" applyFont="1"/>
    <xf numFmtId="178" fontId="15" fillId="0" borderId="8" xfId="3" applyNumberFormat="1" applyFont="1" applyBorder="1"/>
    <xf numFmtId="176" fontId="18" fillId="0" borderId="8" xfId="3" applyNumberFormat="1" applyFont="1" applyBorder="1"/>
    <xf numFmtId="173" fontId="18" fillId="0" borderId="8" xfId="0" applyNumberFormat="1" applyFont="1" applyBorder="1"/>
    <xf numFmtId="186" fontId="18" fillId="0" borderId="17" xfId="0" applyNumberFormat="1" applyFont="1" applyBorder="1"/>
    <xf numFmtId="186" fontId="18" fillId="0" borderId="8" xfId="0" applyNumberFormat="1" applyFont="1" applyBorder="1"/>
    <xf numFmtId="176" fontId="18" fillId="0" borderId="6" xfId="3" applyNumberFormat="1" applyFont="1" applyBorder="1" applyAlignment="1">
      <alignment horizontal="right"/>
    </xf>
    <xf numFmtId="188" fontId="17" fillId="0" borderId="8" xfId="0" applyNumberFormat="1" applyFont="1" applyBorder="1"/>
    <xf numFmtId="187" fontId="15" fillId="0" borderId="8" xfId="3" applyNumberFormat="1" applyFont="1" applyBorder="1"/>
    <xf numFmtId="44" fontId="15" fillId="0" borderId="6" xfId="3" applyNumberFormat="1" applyFont="1" applyBorder="1"/>
    <xf numFmtId="178" fontId="18" fillId="0" borderId="2" xfId="4" applyNumberFormat="1" applyFont="1" applyBorder="1"/>
    <xf numFmtId="9" fontId="18" fillId="0" borderId="18" xfId="4" applyNumberFormat="1" applyFont="1" applyBorder="1"/>
    <xf numFmtId="176" fontId="18" fillId="0" borderId="0" xfId="4" applyNumberFormat="1" applyFont="1"/>
    <xf numFmtId="186" fontId="15" fillId="0" borderId="0" xfId="0" applyNumberFormat="1" applyFont="1"/>
    <xf numFmtId="176" fontId="15" fillId="0" borderId="8" xfId="3" applyNumberFormat="1" applyFont="1" applyBorder="1"/>
    <xf numFmtId="188" fontId="15" fillId="0" borderId="8" xfId="3" applyNumberFormat="1" applyFont="1" applyBorder="1"/>
    <xf numFmtId="188" fontId="29" fillId="0" borderId="0" xfId="3" applyNumberFormat="1" applyFont="1" applyAlignment="1">
      <alignment horizontal="right"/>
    </xf>
    <xf numFmtId="179" fontId="29" fillId="0" borderId="7" xfId="3" applyNumberFormat="1" applyFont="1" applyBorder="1" applyAlignment="1">
      <alignment horizontal="right"/>
    </xf>
    <xf numFmtId="179" fontId="29" fillId="0" borderId="0" xfId="3" applyNumberFormat="1" applyFont="1" applyAlignment="1">
      <alignment horizontal="right"/>
    </xf>
    <xf numFmtId="179" fontId="29" fillId="0" borderId="8" xfId="3" applyNumberFormat="1" applyFont="1" applyBorder="1" applyAlignment="1">
      <alignment horizontal="right"/>
    </xf>
    <xf numFmtId="179" fontId="29" fillId="0" borderId="6" xfId="3" applyNumberFormat="1" applyFont="1" applyBorder="1" applyAlignment="1">
      <alignment horizontal="right"/>
    </xf>
    <xf numFmtId="188" fontId="29" fillId="0" borderId="8" xfId="3" applyNumberFormat="1" applyFont="1" applyBorder="1" applyAlignment="1">
      <alignment horizontal="right"/>
    </xf>
    <xf numFmtId="42" fontId="17" fillId="0" borderId="16" xfId="0" applyNumberFormat="1" applyFont="1" applyBorder="1"/>
    <xf numFmtId="42" fontId="17" fillId="0" borderId="19" xfId="0" applyNumberFormat="1" applyFont="1" applyBorder="1"/>
    <xf numFmtId="42" fontId="17" fillId="0" borderId="20" xfId="0" applyNumberFormat="1" applyFont="1" applyBorder="1"/>
    <xf numFmtId="179" fontId="17" fillId="0" borderId="0" xfId="0" applyNumberFormat="1" applyFont="1"/>
    <xf numFmtId="179" fontId="17" fillId="0" borderId="19" xfId="0" applyNumberFormat="1" applyFont="1" applyBorder="1"/>
    <xf numFmtId="188" fontId="15" fillId="0" borderId="0" xfId="3" applyNumberFormat="1" applyFont="1"/>
    <xf numFmtId="7" fontId="15" fillId="0" borderId="0" xfId="3" applyNumberFormat="1" applyFont="1"/>
    <xf numFmtId="183" fontId="28" fillId="0" borderId="0" xfId="6" applyNumberFormat="1" applyFont="1" applyBorder="1"/>
    <xf numFmtId="183" fontId="28" fillId="0" borderId="8" xfId="6" applyNumberFormat="1" applyFont="1" applyBorder="1"/>
    <xf numFmtId="184" fontId="15" fillId="0" borderId="8" xfId="3" applyNumberFormat="1" applyFont="1" applyBorder="1"/>
    <xf numFmtId="190" fontId="15" fillId="0" borderId="8" xfId="3" applyNumberFormat="1" applyFont="1" applyBorder="1"/>
    <xf numFmtId="179" fontId="29" fillId="0" borderId="8" xfId="3" applyNumberFormat="1" applyFont="1" applyBorder="1"/>
    <xf numFmtId="37" fontId="17" fillId="0" borderId="8" xfId="4" applyNumberFormat="1" applyFont="1" applyBorder="1"/>
    <xf numFmtId="187" fontId="17" fillId="0" borderId="8" xfId="4" applyNumberFormat="1" applyFont="1" applyBorder="1"/>
    <xf numFmtId="191" fontId="15" fillId="0" borderId="8" xfId="3" applyNumberFormat="1" applyFont="1" applyBorder="1"/>
    <xf numFmtId="171" fontId="18" fillId="0" borderId="0" xfId="0" applyNumberFormat="1" applyFont="1"/>
    <xf numFmtId="0" fontId="17" fillId="0" borderId="6" xfId="4" applyFont="1" applyBorder="1"/>
    <xf numFmtId="8" fontId="17" fillId="0" borderId="6" xfId="4" applyNumberFormat="1" applyFont="1" applyBorder="1"/>
    <xf numFmtId="44" fontId="17" fillId="0" borderId="0" xfId="4" applyNumberFormat="1" applyFont="1"/>
    <xf numFmtId="43" fontId="17" fillId="0" borderId="16" xfId="4" applyNumberFormat="1" applyFont="1" applyBorder="1"/>
    <xf numFmtId="43" fontId="17" fillId="0" borderId="15" xfId="4" applyNumberFormat="1" applyFont="1" applyBorder="1"/>
    <xf numFmtId="43" fontId="17" fillId="0" borderId="8" xfId="4" applyNumberFormat="1" applyFont="1" applyBorder="1"/>
    <xf numFmtId="185" fontId="17" fillId="0" borderId="8" xfId="4" applyNumberFormat="1" applyFont="1" applyBorder="1"/>
    <xf numFmtId="0" fontId="17" fillId="0" borderId="0" xfId="4" applyFont="1" applyFill="1"/>
    <xf numFmtId="187" fontId="18" fillId="0" borderId="8" xfId="4" applyNumberFormat="1" applyFont="1" applyBorder="1"/>
    <xf numFmtId="189" fontId="18" fillId="0" borderId="8" xfId="6" applyNumberFormat="1" applyFont="1" applyBorder="1"/>
    <xf numFmtId="189" fontId="17" fillId="0" borderId="8" xfId="6" applyNumberFormat="1" applyFont="1" applyBorder="1"/>
    <xf numFmtId="189" fontId="15" fillId="0" borderId="8" xfId="6" applyNumberFormat="1" applyFont="1" applyBorder="1"/>
    <xf numFmtId="44" fontId="17" fillId="0" borderId="8" xfId="4" applyNumberFormat="1" applyFont="1" applyBorder="1"/>
    <xf numFmtId="9" fontId="17" fillId="0" borderId="0" xfId="4" applyNumberFormat="1" applyFont="1"/>
    <xf numFmtId="2" fontId="17" fillId="0" borderId="0" xfId="4" applyNumberFormat="1" applyFont="1"/>
    <xf numFmtId="0" fontId="15" fillId="0" borderId="0" xfId="7" applyFont="1"/>
    <xf numFmtId="37" fontId="16" fillId="0" borderId="0" xfId="7" applyNumberFormat="1" applyFont="1"/>
    <xf numFmtId="44" fontId="16" fillId="0" borderId="0" xfId="8" applyFont="1" applyFill="1" applyBorder="1"/>
    <xf numFmtId="179" fontId="15" fillId="0" borderId="0" xfId="7" applyNumberFormat="1" applyFont="1"/>
    <xf numFmtId="14" fontId="15" fillId="0" borderId="0" xfId="7" applyNumberFormat="1" applyFont="1"/>
    <xf numFmtId="14" fontId="15" fillId="0" borderId="0" xfId="7" applyNumberFormat="1" applyFont="1" applyAlignment="1">
      <alignment horizontal="center" vertical="center" wrapText="1"/>
    </xf>
    <xf numFmtId="0" fontId="15" fillId="0" borderId="0" xfId="7" applyFont="1" applyAlignment="1">
      <alignment horizontal="centerContinuous"/>
    </xf>
    <xf numFmtId="0" fontId="22" fillId="0" borderId="0" xfId="7" applyFont="1" applyAlignment="1">
      <alignment horizontal="centerContinuous"/>
    </xf>
    <xf numFmtId="37" fontId="15" fillId="0" borderId="0" xfId="7" applyNumberFormat="1" applyFont="1"/>
    <xf numFmtId="0" fontId="22" fillId="0" borderId="0" xfId="7" applyFont="1"/>
    <xf numFmtId="0" fontId="22" fillId="0" borderId="0" xfId="7" applyFont="1" applyAlignment="1">
      <alignment vertical="center" wrapText="1"/>
    </xf>
    <xf numFmtId="0" fontId="18" fillId="0" borderId="0" xfId="7" applyFont="1"/>
    <xf numFmtId="0" fontId="2" fillId="0" borderId="0" xfId="9"/>
    <xf numFmtId="0" fontId="17" fillId="0" borderId="0" xfId="9" applyFont="1" applyAlignment="1">
      <alignment wrapText="1"/>
    </xf>
    <xf numFmtId="0" fontId="17" fillId="0" borderId="0" xfId="9" applyFont="1"/>
    <xf numFmtId="0" fontId="2" fillId="0" borderId="0" xfId="9" applyAlignment="1">
      <alignment horizontal="left" vertical="center" wrapText="1"/>
    </xf>
    <xf numFmtId="0" fontId="17" fillId="0" borderId="0" xfId="9" applyFont="1" applyAlignment="1">
      <alignment vertical="center" wrapText="1"/>
    </xf>
    <xf numFmtId="0" fontId="17" fillId="0" borderId="0" xfId="9" applyFont="1" applyAlignment="1">
      <alignment vertical="center"/>
    </xf>
    <xf numFmtId="0" fontId="23" fillId="0" borderId="7" xfId="9" applyFont="1" applyBorder="1"/>
    <xf numFmtId="0" fontId="31" fillId="0" borderId="0" xfId="9" applyFont="1"/>
    <xf numFmtId="0" fontId="2" fillId="0" borderId="12" xfId="9" applyBorder="1"/>
    <xf numFmtId="0" fontId="31" fillId="0" borderId="14" xfId="9" applyFont="1" applyBorder="1"/>
    <xf numFmtId="0" fontId="2" fillId="0" borderId="0" xfId="9" applyAlignment="1">
      <alignment vertical="top"/>
    </xf>
    <xf numFmtId="171" fontId="17" fillId="0" borderId="0" xfId="9" applyNumberFormat="1" applyFont="1" applyFill="1"/>
    <xf numFmtId="0" fontId="17" fillId="0" borderId="0" xfId="9" applyFont="1" applyFill="1"/>
    <xf numFmtId="0" fontId="17" fillId="0" borderId="0" xfId="9" applyFont="1" applyAlignment="1">
      <alignment vertical="top"/>
    </xf>
    <xf numFmtId="0" fontId="26" fillId="0" borderId="0" xfId="9" applyFont="1" applyAlignment="1">
      <alignment horizontal="left" vertical="top"/>
    </xf>
    <xf numFmtId="49" fontId="17" fillId="0" borderId="0" xfId="9" applyNumberFormat="1" applyFont="1"/>
    <xf numFmtId="0" fontId="23" fillId="0" borderId="0" xfId="9" applyFont="1"/>
    <xf numFmtId="0" fontId="1" fillId="0" borderId="0" xfId="10"/>
    <xf numFmtId="173" fontId="32" fillId="0" borderId="0" xfId="10" applyNumberFormat="1" applyFont="1"/>
    <xf numFmtId="179" fontId="15" fillId="0" borderId="0" xfId="10" applyNumberFormat="1" applyFont="1"/>
    <xf numFmtId="7" fontId="17" fillId="0" borderId="0" xfId="10" applyNumberFormat="1" applyFont="1"/>
    <xf numFmtId="0" fontId="15" fillId="0" borderId="0" xfId="10" applyFont="1"/>
    <xf numFmtId="0" fontId="22" fillId="0" borderId="0" xfId="10" applyFont="1"/>
    <xf numFmtId="0" fontId="22" fillId="0" borderId="0" xfId="10" applyFont="1" applyAlignment="1">
      <alignment horizontal="center" wrapText="1"/>
    </xf>
    <xf numFmtId="177" fontId="15" fillId="0" borderId="0" xfId="10" applyNumberFormat="1" applyFont="1"/>
    <xf numFmtId="39" fontId="33" fillId="0" borderId="0" xfId="10" applyNumberFormat="1" applyFont="1"/>
    <xf numFmtId="179" fontId="33" fillId="0" borderId="0" xfId="10" applyNumberFormat="1" applyFont="1"/>
    <xf numFmtId="173" fontId="15" fillId="0" borderId="6" xfId="10" applyNumberFormat="1" applyFont="1" applyBorder="1"/>
    <xf numFmtId="173" fontId="15" fillId="0" borderId="7" xfId="10" applyNumberFormat="1" applyFont="1" applyBorder="1"/>
    <xf numFmtId="173" fontId="15" fillId="0" borderId="3" xfId="10" applyNumberFormat="1" applyFont="1" applyBorder="1"/>
    <xf numFmtId="179" fontId="15" fillId="0" borderId="0" xfId="10" applyNumberFormat="1" applyFont="1" applyAlignment="1">
      <alignment horizontal="right"/>
    </xf>
    <xf numFmtId="173" fontId="15" fillId="0" borderId="19" xfId="10" applyNumberFormat="1" applyFont="1" applyBorder="1"/>
    <xf numFmtId="173" fontId="15" fillId="0" borderId="20" xfId="10" applyNumberFormat="1" applyFont="1" applyBorder="1"/>
    <xf numFmtId="173" fontId="15" fillId="0" borderId="4" xfId="10" applyNumberFormat="1" applyFont="1" applyBorder="1"/>
    <xf numFmtId="37" fontId="18" fillId="0" borderId="0" xfId="10" applyNumberFormat="1" applyFont="1"/>
    <xf numFmtId="39" fontId="18" fillId="0" borderId="0" xfId="10" applyNumberFormat="1" applyFont="1"/>
    <xf numFmtId="0" fontId="2" fillId="0" borderId="0" xfId="11"/>
    <xf numFmtId="173" fontId="15" fillId="0" borderId="0" xfId="10" applyNumberFormat="1" applyFont="1"/>
    <xf numFmtId="188" fontId="18" fillId="0" borderId="0" xfId="10" applyNumberFormat="1" applyFont="1"/>
    <xf numFmtId="176" fontId="18" fillId="0" borderId="0" xfId="10" applyNumberFormat="1" applyFont="1"/>
    <xf numFmtId="7" fontId="18" fillId="0" borderId="0" xfId="10" applyNumberFormat="1" applyFont="1"/>
    <xf numFmtId="188" fontId="15" fillId="0" borderId="0" xfId="10" applyNumberFormat="1" applyFont="1"/>
    <xf numFmtId="179" fontId="18" fillId="0" borderId="0" xfId="10" applyNumberFormat="1" applyFont="1"/>
    <xf numFmtId="0" fontId="15" fillId="0" borderId="0" xfId="11" applyFont="1"/>
    <xf numFmtId="49" fontId="15" fillId="0" borderId="0" xfId="10" applyNumberFormat="1" applyFont="1"/>
    <xf numFmtId="0" fontId="22" fillId="0" borderId="5" xfId="10" applyFont="1" applyBorder="1" applyAlignment="1">
      <alignment horizontal="center"/>
    </xf>
    <xf numFmtId="180" fontId="22" fillId="0" borderId="5" xfId="10" applyNumberFormat="1" applyFont="1" applyBorder="1" applyAlignment="1">
      <alignment horizontal="center"/>
    </xf>
    <xf numFmtId="0" fontId="22" fillId="0" borderId="5" xfId="10" applyFont="1" applyBorder="1"/>
    <xf numFmtId="0" fontId="22" fillId="0" borderId="0" xfId="10" applyFont="1" applyAlignment="1">
      <alignment horizontal="center"/>
    </xf>
    <xf numFmtId="0" fontId="1" fillId="0" borderId="0" xfId="10" applyAlignment="1">
      <alignment horizontal="centerContinuous"/>
    </xf>
    <xf numFmtId="0" fontId="22" fillId="0" borderId="0" xfId="10" applyFont="1" applyAlignment="1">
      <alignment horizontal="centerContinuous" wrapText="1"/>
    </xf>
    <xf numFmtId="0" fontId="22" fillId="0" borderId="0" xfId="10" applyFont="1" applyAlignment="1">
      <alignment horizontal="centerContinuous"/>
    </xf>
    <xf numFmtId="0" fontId="15" fillId="0" borderId="6" xfId="10" applyFont="1" applyBorder="1" applyAlignment="1">
      <alignment horizontal="right"/>
    </xf>
    <xf numFmtId="0" fontId="15" fillId="0" borderId="3" xfId="10" applyFont="1" applyBorder="1"/>
    <xf numFmtId="14" fontId="15" fillId="0" borderId="8" xfId="10" applyNumberFormat="1" applyFont="1" applyBorder="1"/>
    <xf numFmtId="0" fontId="15" fillId="0" borderId="9" xfId="10" applyFont="1" applyBorder="1"/>
    <xf numFmtId="14" fontId="15" fillId="0" borderId="19" xfId="10" applyNumberFormat="1" applyFont="1" applyBorder="1"/>
    <xf numFmtId="0" fontId="15" fillId="0" borderId="4" xfId="10" applyFont="1" applyBorder="1"/>
    <xf numFmtId="0" fontId="25" fillId="0" borderId="0" xfId="10" applyFont="1"/>
    <xf numFmtId="0" fontId="34" fillId="0" borderId="0" xfId="10" applyFont="1"/>
    <xf numFmtId="173" fontId="15" fillId="5" borderId="9" xfId="10" applyNumberFormat="1" applyFont="1" applyFill="1" applyBorder="1"/>
    <xf numFmtId="173" fontId="15" fillId="5" borderId="8" xfId="10" applyNumberFormat="1" applyFont="1" applyFill="1" applyBorder="1"/>
    <xf numFmtId="49" fontId="15" fillId="0" borderId="8" xfId="10" applyNumberFormat="1" applyFont="1" applyBorder="1" applyAlignment="1">
      <alignment horizontal="right"/>
    </xf>
    <xf numFmtId="44" fontId="22" fillId="0" borderId="0" xfId="6" applyFont="1" applyFill="1"/>
    <xf numFmtId="166" fontId="4" fillId="0" borderId="0" xfId="0" applyNumberFormat="1" applyFont="1" applyAlignment="1">
      <alignment horizontal="right" vertical="top" wrapText="1"/>
    </xf>
    <xf numFmtId="192" fontId="4" fillId="0" borderId="0" xfId="0" applyNumberFormat="1" applyFont="1" applyAlignment="1">
      <alignment horizontal="right" vertical="top" wrapText="1"/>
    </xf>
    <xf numFmtId="172" fontId="4" fillId="0" borderId="0" xfId="0" applyNumberFormat="1" applyFont="1" applyAlignment="1">
      <alignment horizontal="right" vertical="top" wrapText="1"/>
    </xf>
    <xf numFmtId="193" fontId="4" fillId="0" borderId="0" xfId="0" applyNumberFormat="1" applyFont="1" applyAlignment="1">
      <alignment horizontal="right" vertical="top" wrapText="1"/>
    </xf>
    <xf numFmtId="0" fontId="4" fillId="0" borderId="0" xfId="0" applyFont="1" applyAlignment="1">
      <alignment horizontal="right" vertical="top" wrapText="1"/>
    </xf>
    <xf numFmtId="0" fontId="26" fillId="0" borderId="0" xfId="9" applyFont="1" applyAlignment="1">
      <alignment horizontal="left" vertical="top" wrapText="1"/>
    </xf>
    <xf numFmtId="0" fontId="17" fillId="6" borderId="0" xfId="9" applyFont="1" applyFill="1"/>
    <xf numFmtId="0" fontId="17" fillId="7" borderId="0" xfId="9" applyFont="1" applyFill="1"/>
    <xf numFmtId="0" fontId="15" fillId="0" borderId="0" xfId="10" applyFont="1" applyAlignment="1">
      <alignment horizontal="center"/>
    </xf>
    <xf numFmtId="173" fontId="18" fillId="0" borderId="0" xfId="10" applyNumberFormat="1" applyFont="1"/>
    <xf numFmtId="0" fontId="18" fillId="0" borderId="0" xfId="10" applyFont="1" applyAlignment="1">
      <alignment horizontal="center"/>
    </xf>
    <xf numFmtId="179" fontId="28" fillId="0" borderId="0" xfId="10" applyNumberFormat="1" applyFont="1"/>
    <xf numFmtId="173" fontId="15" fillId="5" borderId="0" xfId="10" applyNumberFormat="1" applyFont="1" applyFill="1"/>
    <xf numFmtId="187" fontId="18" fillId="0" borderId="0" xfId="7" applyNumberFormat="1" applyFont="1"/>
    <xf numFmtId="0" fontId="35" fillId="0" borderId="0" xfId="10" applyFont="1"/>
    <xf numFmtId="0" fontId="27" fillId="0" borderId="0" xfId="0" applyFont="1"/>
    <xf numFmtId="14" fontId="18" fillId="0" borderId="0" xfId="0" applyNumberFormat="1" applyFont="1"/>
    <xf numFmtId="7" fontId="18" fillId="0" borderId="0" xfId="0" applyNumberFormat="1" applyFont="1"/>
    <xf numFmtId="7" fontId="27" fillId="0" borderId="0" xfId="0" applyNumberFormat="1" applyFont="1"/>
    <xf numFmtId="0" fontId="30" fillId="0" borderId="0" xfId="0" applyFont="1"/>
    <xf numFmtId="0" fontId="30" fillId="0" borderId="0" xfId="0" applyFont="1" applyAlignment="1">
      <alignment horizontal="right"/>
    </xf>
    <xf numFmtId="39" fontId="27" fillId="0" borderId="0" xfId="0" applyNumberFormat="1" applyFont="1"/>
    <xf numFmtId="177" fontId="27" fillId="0" borderId="0" xfId="0" applyNumberFormat="1" applyFont="1"/>
    <xf numFmtId="175" fontId="15" fillId="0" borderId="0" xfId="3" applyNumberFormat="1" applyFont="1" applyAlignment="1">
      <alignment horizontal="centerContinuous"/>
    </xf>
    <xf numFmtId="8" fontId="15" fillId="0" borderId="0" xfId="3" applyNumberFormat="1" applyFont="1"/>
    <xf numFmtId="194" fontId="18" fillId="0" borderId="0" xfId="0" applyNumberFormat="1" applyFont="1"/>
    <xf numFmtId="194" fontId="17" fillId="0" borderId="0" xfId="0" applyNumberFormat="1" applyFont="1"/>
    <xf numFmtId="0" fontId="22" fillId="8" borderId="5" xfId="10" applyFont="1" applyFill="1" applyBorder="1" applyAlignment="1">
      <alignment horizontal="center"/>
    </xf>
    <xf numFmtId="0" fontId="22" fillId="8" borderId="0" xfId="10" applyFont="1" applyFill="1" applyAlignment="1">
      <alignment horizontal="center"/>
    </xf>
    <xf numFmtId="0" fontId="15" fillId="0" borderId="0" xfId="0" applyFont="1"/>
    <xf numFmtId="8" fontId="15" fillId="0" borderId="0" xfId="0" applyNumberFormat="1" applyFont="1"/>
    <xf numFmtId="177" fontId="28" fillId="0" borderId="0" xfId="0" applyNumberFormat="1" applyFont="1"/>
    <xf numFmtId="178" fontId="28" fillId="0" borderId="0" xfId="0" applyNumberFormat="1" applyFont="1"/>
  </cellXfs>
  <cellStyles count="12">
    <cellStyle name="Currency" xfId="6" builtinId="4"/>
    <cellStyle name="Currency 2" xfId="8" xr:uid="{5180667E-44BB-0C49-8CC5-3DFE0CAC2AF4}"/>
    <cellStyle name="Invisible" xfId="2" xr:uid="{3E8B31E4-62DD-BC42-9EF0-5ED007DA4AFD}"/>
    <cellStyle name="Normal" xfId="0" builtinId="0"/>
    <cellStyle name="Normal 2" xfId="1" xr:uid="{A3C45B5E-BFA7-6F41-B02B-73EC123560B5}"/>
    <cellStyle name="Normal 2 2" xfId="3" xr:uid="{A1A02F12-1E1E-4DB3-80BF-32310E8E7ADE}"/>
    <cellStyle name="Normal 2 3" xfId="5" xr:uid="{DB1E9965-A05C-B645-9DB3-A6A8F6AEFE5B}"/>
    <cellStyle name="Normal 2 3 2" xfId="9" xr:uid="{11FDFDC9-7FA7-074B-A417-ED0B4CF9C499}"/>
    <cellStyle name="Normal 3" xfId="4" xr:uid="{14E40269-C728-4F15-A464-394070A95DE9}"/>
    <cellStyle name="Normal 3 2" xfId="11" xr:uid="{212861A0-2D4F-954C-BD79-5753E08E4212}"/>
    <cellStyle name="Normal 4 2" xfId="10" xr:uid="{029325F2-0A5E-9E48-9137-C392C32111B8}"/>
    <cellStyle name="Normal 5 2" xfId="7" xr:uid="{39EC14A9-71BF-3B4C-897C-B03548415D5B}"/>
  </cellStyles>
  <dxfs count="0"/>
  <tableStyles count="0" defaultTableStyle="TableStyleMedium2" defaultPivotStyle="PivotStyleLight16"/>
  <colors>
    <mruColors>
      <color rgb="FF004AAD"/>
      <color rgb="FF2AB4D4"/>
      <color rgb="FF17AA4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2.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 Id="rId22" Type="http://schemas.openxmlformats.org/officeDocument/2006/relationships/customXml" Target="../customXml/item3.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DCF Assumptions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strRef>
              <c:f>TAP_DCF!$T$20</c:f>
              <c:strCache>
                <c:ptCount val="1"/>
                <c:pt idx="0">
                  <c:v>2024</c:v>
                </c:pt>
              </c:strCache>
            </c:strRef>
          </c:tx>
          <c:spPr>
            <a:solidFill>
              <a:srgbClr val="004AAD"/>
            </a:solidFill>
            <a:ln>
              <a:noFill/>
            </a:ln>
            <a:effectLst/>
          </c:spPr>
          <c:invertIfNegative val="0"/>
          <c:dLbls>
            <c:dLbl>
              <c:idx val="0"/>
              <c:layout>
                <c:manualLayout>
                  <c:x val="7.3995288189798499E-3"/>
                  <c:y val="5.1232217359064997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900B-4B4B-A4A3-BD8889CFB421}"/>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TAP_DCF!$U$19:$Z$19</c:f>
              <c:strCache>
                <c:ptCount val="6"/>
                <c:pt idx="0">
                  <c:v>Revenue Growth</c:v>
                </c:pt>
                <c:pt idx="1">
                  <c:v>COGS (% of Revenue)</c:v>
                </c:pt>
                <c:pt idx="2">
                  <c:v>SG&amp;A (% of Revenue)</c:v>
                </c:pt>
                <c:pt idx="3">
                  <c:v>Amortization of Goodwill and Intangibles (% of Revenue)</c:v>
                </c:pt>
                <c:pt idx="4">
                  <c:v>Depreciation and Amortization (% of Capex)</c:v>
                </c:pt>
                <c:pt idx="5">
                  <c:v>Capex (% of Revenue)</c:v>
                </c:pt>
              </c:strCache>
            </c:strRef>
          </c:cat>
          <c:val>
            <c:numRef>
              <c:f>TAP_DCF!$U$20:$Z$20</c:f>
              <c:numCache>
                <c:formatCode>0.0%_);\(0.0%\)</c:formatCode>
                <c:ptCount val="6"/>
                <c:pt idx="0">
                  <c:v>-6.0000000000000001E-3</c:v>
                </c:pt>
                <c:pt idx="1">
                  <c:v>0.61</c:v>
                </c:pt>
                <c:pt idx="2">
                  <c:v>0.216</c:v>
                </c:pt>
                <c:pt idx="3">
                  <c:v>1.7999999999999999E-2</c:v>
                </c:pt>
                <c:pt idx="4">
                  <c:v>0.98799999999999999</c:v>
                </c:pt>
                <c:pt idx="5">
                  <c:v>5.8000000000000003E-2</c:v>
                </c:pt>
              </c:numCache>
            </c:numRef>
          </c:val>
          <c:extLst>
            <c:ext xmlns:c16="http://schemas.microsoft.com/office/drawing/2014/chart" uri="{C3380CC4-5D6E-409C-BE32-E72D297353CC}">
              <c16:uniqueId val="{00000000-900B-4B4B-A4A3-BD8889CFB421}"/>
            </c:ext>
          </c:extLst>
        </c:ser>
        <c:ser>
          <c:idx val="1"/>
          <c:order val="1"/>
          <c:tx>
            <c:strRef>
              <c:f>TAP_DCF!$T$21</c:f>
              <c:strCache>
                <c:ptCount val="1"/>
                <c:pt idx="0">
                  <c:v>2029</c:v>
                </c:pt>
              </c:strCache>
            </c:strRef>
          </c:tx>
          <c:spPr>
            <a:solidFill>
              <a:srgbClr val="2AB4D4"/>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TAP_DCF!$U$19:$Z$19</c:f>
              <c:strCache>
                <c:ptCount val="6"/>
                <c:pt idx="0">
                  <c:v>Revenue Growth</c:v>
                </c:pt>
                <c:pt idx="1">
                  <c:v>COGS (% of Revenue)</c:v>
                </c:pt>
                <c:pt idx="2">
                  <c:v>SG&amp;A (% of Revenue)</c:v>
                </c:pt>
                <c:pt idx="3">
                  <c:v>Amortization of Goodwill and Intangibles (% of Revenue)</c:v>
                </c:pt>
                <c:pt idx="4">
                  <c:v>Depreciation and Amortization (% of Capex)</c:v>
                </c:pt>
                <c:pt idx="5">
                  <c:v>Capex (% of Revenue)</c:v>
                </c:pt>
              </c:strCache>
            </c:strRef>
          </c:cat>
          <c:val>
            <c:numRef>
              <c:f>TAP_DCF!$U$21:$Z$21</c:f>
              <c:numCache>
                <c:formatCode>0.0%_);\(0.0%\)</c:formatCode>
                <c:ptCount val="6"/>
                <c:pt idx="0">
                  <c:v>0.01</c:v>
                </c:pt>
                <c:pt idx="1">
                  <c:v>0.61499999999999999</c:v>
                </c:pt>
                <c:pt idx="2">
                  <c:v>0.218</c:v>
                </c:pt>
                <c:pt idx="3">
                  <c:v>1.9E-2</c:v>
                </c:pt>
                <c:pt idx="4">
                  <c:v>1</c:v>
                </c:pt>
                <c:pt idx="5">
                  <c:v>0.06</c:v>
                </c:pt>
              </c:numCache>
            </c:numRef>
          </c:val>
          <c:extLst>
            <c:ext xmlns:c16="http://schemas.microsoft.com/office/drawing/2014/chart" uri="{C3380CC4-5D6E-409C-BE32-E72D297353CC}">
              <c16:uniqueId val="{00000001-900B-4B4B-A4A3-BD8889CFB421}"/>
            </c:ext>
          </c:extLst>
        </c:ser>
        <c:dLbls>
          <c:showLegendKey val="0"/>
          <c:showVal val="0"/>
          <c:showCatName val="0"/>
          <c:showSerName val="0"/>
          <c:showPercent val="0"/>
          <c:showBubbleSize val="0"/>
        </c:dLbls>
        <c:gapWidth val="219"/>
        <c:overlap val="-52"/>
        <c:axId val="2023788927"/>
        <c:axId val="2023792063"/>
      </c:barChart>
      <c:catAx>
        <c:axId val="2023788927"/>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23792063"/>
        <c:crosses val="autoZero"/>
        <c:auto val="1"/>
        <c:lblAlgn val="ctr"/>
        <c:lblOffset val="100"/>
        <c:noMultiLvlLbl val="0"/>
      </c:catAx>
      <c:valAx>
        <c:axId val="2023792063"/>
        <c:scaling>
          <c:orientation val="minMax"/>
          <c:max val="1.1000000000000001"/>
        </c:scaling>
        <c:delete val="0"/>
        <c:axPos val="l"/>
        <c:numFmt formatCode="0.0%_);\(0.0%\)" sourceLinked="1"/>
        <c:majorTickMark val="none"/>
        <c:minorTickMark val="none"/>
        <c:tickLblPos val="nextTo"/>
        <c:spPr>
          <a:noFill/>
          <a:ln>
            <a:solidFill>
              <a:schemeClr val="bg2"/>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23788927"/>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Relative Valuation Implied</a:t>
            </a:r>
            <a:r>
              <a:rPr lang="en-US" baseline="0"/>
              <a:t> Price per Share</a:t>
            </a:r>
            <a:endParaRPr lang="en-US"/>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stacked"/>
        <c:varyColors val="0"/>
        <c:ser>
          <c:idx val="0"/>
          <c:order val="0"/>
          <c:spPr>
            <a:solidFill>
              <a:schemeClr val="accent1"/>
            </a:solidFill>
            <a:ln>
              <a:noFill/>
            </a:ln>
            <a:effectLst/>
          </c:spPr>
          <c:invertIfNegative val="0"/>
          <c:cat>
            <c:strRef>
              <c:f>'Relative Valuation Chart'!$B$9:$B$15</c:f>
              <c:strCache>
                <c:ptCount val="7"/>
                <c:pt idx="0">
                  <c:v>Public comps EV/Sales range 1.9x-2.2x</c:v>
                </c:pt>
                <c:pt idx="1">
                  <c:v>Public comps EV/EBIT range 8.5x-9.0x</c:v>
                </c:pt>
                <c:pt idx="2">
                  <c:v>Public comps EV/EBITDA range 7.0x-10.1x</c:v>
                </c:pt>
                <c:pt idx="3">
                  <c:v>Public comps Forward PEG range 8.5x-9.0x</c:v>
                </c:pt>
                <c:pt idx="4">
                  <c:v>Public comps Forward P/E range 14.3x-25.6x</c:v>
                </c:pt>
                <c:pt idx="5">
                  <c:v>Public comps Price-to-Book range 2.0x-2.2x</c:v>
                </c:pt>
                <c:pt idx="6">
                  <c:v>52 week high-low</c:v>
                </c:pt>
              </c:strCache>
            </c:strRef>
          </c:cat>
          <c:val>
            <c:numRef>
              <c:f>'Relative Valuation Chart'!$C$9:$C$15</c:f>
              <c:numCache>
                <c:formatCode>General</c:formatCode>
                <c:ptCount val="7"/>
              </c:numCache>
            </c:numRef>
          </c:val>
          <c:extLst>
            <c:ext xmlns:c16="http://schemas.microsoft.com/office/drawing/2014/chart" uri="{C3380CC4-5D6E-409C-BE32-E72D297353CC}">
              <c16:uniqueId val="{00000000-519A-0049-94B3-116D5F4BB869}"/>
            </c:ext>
          </c:extLst>
        </c:ser>
        <c:ser>
          <c:idx val="1"/>
          <c:order val="1"/>
          <c:spPr>
            <a:solidFill>
              <a:schemeClr val="accent2"/>
            </a:solidFill>
            <a:ln>
              <a:noFill/>
            </a:ln>
            <a:effectLst/>
          </c:spPr>
          <c:invertIfNegative val="0"/>
          <c:cat>
            <c:strRef>
              <c:f>'Relative Valuation Chart'!$B$9:$B$15</c:f>
              <c:strCache>
                <c:ptCount val="7"/>
                <c:pt idx="0">
                  <c:v>Public comps EV/Sales range 1.9x-2.2x</c:v>
                </c:pt>
                <c:pt idx="1">
                  <c:v>Public comps EV/EBIT range 8.5x-9.0x</c:v>
                </c:pt>
                <c:pt idx="2">
                  <c:v>Public comps EV/EBITDA range 7.0x-10.1x</c:v>
                </c:pt>
                <c:pt idx="3">
                  <c:v>Public comps Forward PEG range 8.5x-9.0x</c:v>
                </c:pt>
                <c:pt idx="4">
                  <c:v>Public comps Forward P/E range 14.3x-25.6x</c:v>
                </c:pt>
                <c:pt idx="5">
                  <c:v>Public comps Price-to-Book range 2.0x-2.2x</c:v>
                </c:pt>
                <c:pt idx="6">
                  <c:v>52 week high-low</c:v>
                </c:pt>
              </c:strCache>
            </c:strRef>
          </c:cat>
          <c:val>
            <c:numRef>
              <c:f>'Relative Valuation Chart'!$D$9:$D$15</c:f>
              <c:numCache>
                <c:formatCode>General</c:formatCode>
                <c:ptCount val="7"/>
              </c:numCache>
            </c:numRef>
          </c:val>
          <c:extLst>
            <c:ext xmlns:c16="http://schemas.microsoft.com/office/drawing/2014/chart" uri="{C3380CC4-5D6E-409C-BE32-E72D297353CC}">
              <c16:uniqueId val="{00000001-519A-0049-94B3-116D5F4BB869}"/>
            </c:ext>
          </c:extLst>
        </c:ser>
        <c:ser>
          <c:idx val="2"/>
          <c:order val="2"/>
          <c:spPr>
            <a:solidFill>
              <a:schemeClr val="accent3"/>
            </a:solidFill>
            <a:ln>
              <a:noFill/>
            </a:ln>
            <a:effectLst/>
          </c:spPr>
          <c:invertIfNegative val="0"/>
          <c:cat>
            <c:strRef>
              <c:f>'Relative Valuation Chart'!$B$9:$B$15</c:f>
              <c:strCache>
                <c:ptCount val="7"/>
                <c:pt idx="0">
                  <c:v>Public comps EV/Sales range 1.9x-2.2x</c:v>
                </c:pt>
                <c:pt idx="1">
                  <c:v>Public comps EV/EBIT range 8.5x-9.0x</c:v>
                </c:pt>
                <c:pt idx="2">
                  <c:v>Public comps EV/EBITDA range 7.0x-10.1x</c:v>
                </c:pt>
                <c:pt idx="3">
                  <c:v>Public comps Forward PEG range 8.5x-9.0x</c:v>
                </c:pt>
                <c:pt idx="4">
                  <c:v>Public comps Forward P/E range 14.3x-25.6x</c:v>
                </c:pt>
                <c:pt idx="5">
                  <c:v>Public comps Price-to-Book range 2.0x-2.2x</c:v>
                </c:pt>
                <c:pt idx="6">
                  <c:v>52 week high-low</c:v>
                </c:pt>
              </c:strCache>
            </c:strRef>
          </c:cat>
          <c:val>
            <c:numRef>
              <c:f>'Relative Valuation Chart'!$E$9:$E$15</c:f>
              <c:numCache>
                <c:formatCode>General</c:formatCode>
                <c:ptCount val="7"/>
              </c:numCache>
            </c:numRef>
          </c:val>
          <c:extLst>
            <c:ext xmlns:c16="http://schemas.microsoft.com/office/drawing/2014/chart" uri="{C3380CC4-5D6E-409C-BE32-E72D297353CC}">
              <c16:uniqueId val="{00000002-519A-0049-94B3-116D5F4BB869}"/>
            </c:ext>
          </c:extLst>
        </c:ser>
        <c:ser>
          <c:idx val="3"/>
          <c:order val="3"/>
          <c:spPr>
            <a:noFill/>
            <a:ln>
              <a:noFill/>
            </a:ln>
            <a:effectLst/>
          </c:spPr>
          <c:invertIfNegative val="0"/>
          <c:dLbls>
            <c:dLbl>
              <c:idx val="2"/>
              <c:dLblPos val="in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E-519A-0049-94B3-116D5F4BB869}"/>
                </c:ext>
              </c:extLst>
            </c:dLbl>
            <c:dLbl>
              <c:idx val="5"/>
              <c:dLblPos val="in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F-519A-0049-94B3-116D5F4BB869}"/>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'Relative Valuation Chart'!$B$9:$B$15</c:f>
              <c:strCache>
                <c:ptCount val="7"/>
                <c:pt idx="0">
                  <c:v>Public comps EV/Sales range 1.9x-2.2x</c:v>
                </c:pt>
                <c:pt idx="1">
                  <c:v>Public comps EV/EBIT range 8.5x-9.0x</c:v>
                </c:pt>
                <c:pt idx="2">
                  <c:v>Public comps EV/EBITDA range 7.0x-10.1x</c:v>
                </c:pt>
                <c:pt idx="3">
                  <c:v>Public comps Forward PEG range 8.5x-9.0x</c:v>
                </c:pt>
                <c:pt idx="4">
                  <c:v>Public comps Forward P/E range 14.3x-25.6x</c:v>
                </c:pt>
                <c:pt idx="5">
                  <c:v>Public comps Price-to-Book range 2.0x-2.2x</c:v>
                </c:pt>
                <c:pt idx="6">
                  <c:v>52 week high-low</c:v>
                </c:pt>
              </c:strCache>
            </c:strRef>
          </c:cat>
          <c:val>
            <c:numRef>
              <c:f>'Relative Valuation Chart'!$F$9:$F$15</c:f>
              <c:numCache>
                <c:formatCode>"$"#,##0.00_);\("$"#,##0.00\)</c:formatCode>
                <c:ptCount val="7"/>
                <c:pt idx="0">
                  <c:v>77.036370769459495</c:v>
                </c:pt>
                <c:pt idx="1">
                  <c:v>45.991160934452921</c:v>
                </c:pt>
                <c:pt idx="2">
                  <c:v>373.62531976582636</c:v>
                </c:pt>
                <c:pt idx="3">
                  <c:v>39.891797788636197</c:v>
                </c:pt>
                <c:pt idx="4">
                  <c:v>45.991160934452921</c:v>
                </c:pt>
                <c:pt idx="5">
                  <c:v>138.30259100134913</c:v>
                </c:pt>
                <c:pt idx="6">
                  <c:v>42.94</c:v>
                </c:pt>
              </c:numCache>
            </c:numRef>
          </c:val>
          <c:extLst>
            <c:ext xmlns:c16="http://schemas.microsoft.com/office/drawing/2014/chart" uri="{C3380CC4-5D6E-409C-BE32-E72D297353CC}">
              <c16:uniqueId val="{00000003-519A-0049-94B3-116D5F4BB869}"/>
            </c:ext>
          </c:extLst>
        </c:ser>
        <c:ser>
          <c:idx val="4"/>
          <c:order val="4"/>
          <c:spPr>
            <a:solidFill>
              <a:srgbClr val="2AB4D4"/>
            </a:solidFill>
            <a:ln>
              <a:noFill/>
            </a:ln>
            <a:effectLst/>
          </c:spPr>
          <c:invertIfNegative val="0"/>
          <c:cat>
            <c:strRef>
              <c:f>'Relative Valuation Chart'!$B$9:$B$15</c:f>
              <c:strCache>
                <c:ptCount val="7"/>
                <c:pt idx="0">
                  <c:v>Public comps EV/Sales range 1.9x-2.2x</c:v>
                </c:pt>
                <c:pt idx="1">
                  <c:v>Public comps EV/EBIT range 8.5x-9.0x</c:v>
                </c:pt>
                <c:pt idx="2">
                  <c:v>Public comps EV/EBITDA range 7.0x-10.1x</c:v>
                </c:pt>
                <c:pt idx="3">
                  <c:v>Public comps Forward PEG range 8.5x-9.0x</c:v>
                </c:pt>
                <c:pt idx="4">
                  <c:v>Public comps Forward P/E range 14.3x-25.6x</c:v>
                </c:pt>
                <c:pt idx="5">
                  <c:v>Public comps Price-to-Book range 2.0x-2.2x</c:v>
                </c:pt>
                <c:pt idx="6">
                  <c:v>52 week high-low</c:v>
                </c:pt>
              </c:strCache>
            </c:strRef>
          </c:cat>
          <c:val>
            <c:numRef>
              <c:f>'Relative Valuation Chart'!$G$9:$G$15</c:f>
              <c:numCache>
                <c:formatCode>"$"#,##0.00_);\("$"#,##0.00\)</c:formatCode>
                <c:ptCount val="7"/>
                <c:pt idx="0">
                  <c:v>19.196695727920186</c:v>
                </c:pt>
                <c:pt idx="1">
                  <c:v>2.4480091584610904</c:v>
                </c:pt>
                <c:pt idx="2">
                  <c:v>175.6497659104698</c:v>
                </c:pt>
                <c:pt idx="3">
                  <c:v>64.192618613731867</c:v>
                </c:pt>
                <c:pt idx="4">
                  <c:v>2.4480091584610904</c:v>
                </c:pt>
                <c:pt idx="5">
                  <c:v>14.351604151778758</c:v>
                </c:pt>
                <c:pt idx="6">
                  <c:v>21.72</c:v>
                </c:pt>
              </c:numCache>
            </c:numRef>
          </c:val>
          <c:extLst>
            <c:ext xmlns:c16="http://schemas.microsoft.com/office/drawing/2014/chart" uri="{C3380CC4-5D6E-409C-BE32-E72D297353CC}">
              <c16:uniqueId val="{00000004-519A-0049-94B3-116D5F4BB869}"/>
            </c:ext>
          </c:extLst>
        </c:ser>
        <c:ser>
          <c:idx val="5"/>
          <c:order val="5"/>
          <c:spPr>
            <a:no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'Relative Valuation Chart'!$B$9:$B$15</c:f>
              <c:strCache>
                <c:ptCount val="7"/>
                <c:pt idx="0">
                  <c:v>Public comps EV/Sales range 1.9x-2.2x</c:v>
                </c:pt>
                <c:pt idx="1">
                  <c:v>Public comps EV/EBIT range 8.5x-9.0x</c:v>
                </c:pt>
                <c:pt idx="2">
                  <c:v>Public comps EV/EBITDA range 7.0x-10.1x</c:v>
                </c:pt>
                <c:pt idx="3">
                  <c:v>Public comps Forward PEG range 8.5x-9.0x</c:v>
                </c:pt>
                <c:pt idx="4">
                  <c:v>Public comps Forward P/E range 14.3x-25.6x</c:v>
                </c:pt>
                <c:pt idx="5">
                  <c:v>Public comps Price-to-Book range 2.0x-2.2x</c:v>
                </c:pt>
                <c:pt idx="6">
                  <c:v>52 week high-low</c:v>
                </c:pt>
              </c:strCache>
            </c:strRef>
          </c:cat>
          <c:val>
            <c:numRef>
              <c:f>'Relative Valuation Chart'!$H$9:$H$15</c:f>
              <c:numCache>
                <c:formatCode>"$"#,##0.00_);\("$"#,##0.00\)</c:formatCode>
                <c:ptCount val="7"/>
                <c:pt idx="0">
                  <c:v>96.233066497379681</c:v>
                </c:pt>
                <c:pt idx="1">
                  <c:v>48.439170092914011</c:v>
                </c:pt>
                <c:pt idx="2">
                  <c:v>549.27508567629616</c:v>
                </c:pt>
                <c:pt idx="3">
                  <c:v>104.08441640236806</c:v>
                </c:pt>
                <c:pt idx="4">
                  <c:v>48.439170092914011</c:v>
                </c:pt>
                <c:pt idx="5">
                  <c:v>152.65419515312789</c:v>
                </c:pt>
                <c:pt idx="6">
                  <c:v>64.66</c:v>
                </c:pt>
              </c:numCache>
            </c:numRef>
          </c:val>
          <c:extLst>
            <c:ext xmlns:c16="http://schemas.microsoft.com/office/drawing/2014/chart" uri="{C3380CC4-5D6E-409C-BE32-E72D297353CC}">
              <c16:uniqueId val="{00000005-519A-0049-94B3-116D5F4BB869}"/>
            </c:ext>
          </c:extLst>
        </c:ser>
        <c:dLbls>
          <c:showLegendKey val="0"/>
          <c:showVal val="0"/>
          <c:showCatName val="0"/>
          <c:showSerName val="0"/>
          <c:showPercent val="0"/>
          <c:showBubbleSize val="0"/>
        </c:dLbls>
        <c:gapWidth val="150"/>
        <c:overlap val="100"/>
        <c:axId val="2010510016"/>
        <c:axId val="2010166400"/>
      </c:barChart>
      <c:scatterChart>
        <c:scatterStyle val="smoothMarker"/>
        <c:varyColors val="0"/>
        <c:ser>
          <c:idx val="6"/>
          <c:order val="6"/>
          <c:spPr>
            <a:ln w="28575" cap="rnd">
              <a:solidFill>
                <a:srgbClr val="004AAD"/>
              </a:solidFill>
              <a:prstDash val="dash"/>
              <a:round/>
            </a:ln>
            <a:effectLst/>
          </c:spPr>
          <c:marker>
            <c:symbol val="none"/>
          </c:marker>
          <c:dLbls>
            <c:dLbl>
              <c:idx val="0"/>
              <c:delete val="1"/>
              <c:extLst>
                <c:ext xmlns:c15="http://schemas.microsoft.com/office/drawing/2012/chart" uri="{CE6537A1-D6FC-4f65-9D91-7224C49458BB}"/>
                <c:ext xmlns:c16="http://schemas.microsoft.com/office/drawing/2014/chart" uri="{C3380CC4-5D6E-409C-BE32-E72D297353CC}">
                  <c16:uniqueId val="{0000000B-519A-0049-94B3-116D5F4BB869}"/>
                </c:ext>
              </c:extLst>
            </c:dLbl>
            <c:dLbl>
              <c:idx val="1"/>
              <c:delete val="1"/>
              <c:extLst>
                <c:ext xmlns:c15="http://schemas.microsoft.com/office/drawing/2012/chart" uri="{CE6537A1-D6FC-4f65-9D91-7224C49458BB}"/>
                <c:ext xmlns:c16="http://schemas.microsoft.com/office/drawing/2014/chart" uri="{C3380CC4-5D6E-409C-BE32-E72D297353CC}">
                  <c16:uniqueId val="{0000000A-519A-0049-94B3-116D5F4BB869}"/>
                </c:ext>
              </c:extLst>
            </c:dLbl>
            <c:dLbl>
              <c:idx val="2"/>
              <c:delete val="1"/>
              <c:extLst>
                <c:ext xmlns:c15="http://schemas.microsoft.com/office/drawing/2012/chart" uri="{CE6537A1-D6FC-4f65-9D91-7224C49458BB}"/>
                <c:ext xmlns:c16="http://schemas.microsoft.com/office/drawing/2014/chart" uri="{C3380CC4-5D6E-409C-BE32-E72D297353CC}">
                  <c16:uniqueId val="{00000009-519A-0049-94B3-116D5F4BB869}"/>
                </c:ext>
              </c:extLst>
            </c:dLbl>
            <c:dLbl>
              <c:idx val="3"/>
              <c:delete val="1"/>
              <c:extLst>
                <c:ext xmlns:c15="http://schemas.microsoft.com/office/drawing/2012/chart" uri="{CE6537A1-D6FC-4f65-9D91-7224C49458BB}"/>
                <c:ext xmlns:c16="http://schemas.microsoft.com/office/drawing/2014/chart" uri="{C3380CC4-5D6E-409C-BE32-E72D297353CC}">
                  <c16:uniqueId val="{00000008-519A-0049-94B3-116D5F4BB869}"/>
                </c:ext>
              </c:extLst>
            </c:dLbl>
            <c:dLbl>
              <c:idx val="4"/>
              <c:delete val="1"/>
              <c:extLst>
                <c:ext xmlns:c15="http://schemas.microsoft.com/office/drawing/2012/chart" uri="{CE6537A1-D6FC-4f65-9D91-7224C49458BB}"/>
                <c:ext xmlns:c16="http://schemas.microsoft.com/office/drawing/2014/chart" uri="{C3380CC4-5D6E-409C-BE32-E72D297353CC}">
                  <c16:uniqueId val="{00000007-519A-0049-94B3-116D5F4BB869}"/>
                </c:ext>
              </c:extLst>
            </c:dLbl>
            <c:dLbl>
              <c:idx val="5"/>
              <c:delete val="1"/>
              <c:extLst>
                <c:ext xmlns:c15="http://schemas.microsoft.com/office/drawing/2012/chart" uri="{CE6537A1-D6FC-4f65-9D91-7224C49458BB}"/>
                <c:ext xmlns:c16="http://schemas.microsoft.com/office/drawing/2014/chart" uri="{C3380CC4-5D6E-409C-BE32-E72D297353CC}">
                  <c16:uniqueId val="{0000000C-519A-0049-94B3-116D5F4BB869}"/>
                </c:ext>
              </c:extLst>
            </c:dLbl>
            <c:dLbl>
              <c:idx val="6"/>
              <c:layout>
                <c:manualLayout>
                  <c:x val="1.678641859776555E-2"/>
                  <c:y val="0"/>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519A-0049-94B3-116D5F4BB869}"/>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'Relative Valuation Chart'!$B$9:$B$15</c:f>
              <c:strCache>
                <c:ptCount val="7"/>
                <c:pt idx="0">
                  <c:v>Public comps EV/Sales range 1.9x-2.2x</c:v>
                </c:pt>
                <c:pt idx="1">
                  <c:v>Public comps EV/EBIT range 8.5x-9.0x</c:v>
                </c:pt>
                <c:pt idx="2">
                  <c:v>Public comps EV/EBITDA range 7.0x-10.1x</c:v>
                </c:pt>
                <c:pt idx="3">
                  <c:v>Public comps Forward PEG range 8.5x-9.0x</c:v>
                </c:pt>
                <c:pt idx="4">
                  <c:v>Public comps Forward P/E range 14.3x-25.6x</c:v>
                </c:pt>
                <c:pt idx="5">
                  <c:v>Public comps Price-to-Book range 2.0x-2.2x</c:v>
                </c:pt>
                <c:pt idx="6">
                  <c:v>52 week high-low</c:v>
                </c:pt>
              </c:strCache>
            </c:strRef>
          </c:xVal>
          <c:yVal>
            <c:numRef>
              <c:f>'Relative Valuation Chart'!$M$9:$M$15</c:f>
              <c:numCache>
                <c:formatCode>"$"#,##0.00_);\("$"#,##0.00\)</c:formatCode>
                <c:ptCount val="7"/>
                <c:pt idx="0">
                  <c:v>0</c:v>
                </c:pt>
                <c:pt idx="1">
                  <c:v>0</c:v>
                </c:pt>
                <c:pt idx="2">
                  <c:v>0</c:v>
                </c:pt>
                <c:pt idx="3">
                  <c:v>0</c:v>
                </c:pt>
                <c:pt idx="4">
                  <c:v>0</c:v>
                </c:pt>
                <c:pt idx="5">
                  <c:v>0</c:v>
                </c:pt>
                <c:pt idx="6">
                  <c:v>0</c:v>
                </c:pt>
              </c:numCache>
            </c:numRef>
          </c:yVal>
          <c:smooth val="1"/>
          <c:extLst>
            <c:ext xmlns:c16="http://schemas.microsoft.com/office/drawing/2014/chart" uri="{C3380CC4-5D6E-409C-BE32-E72D297353CC}">
              <c16:uniqueId val="{00000006-519A-0049-94B3-116D5F4BB869}"/>
            </c:ext>
          </c:extLst>
        </c:ser>
        <c:dLbls>
          <c:showLegendKey val="0"/>
          <c:showVal val="0"/>
          <c:showCatName val="0"/>
          <c:showSerName val="0"/>
          <c:showPercent val="0"/>
          <c:showBubbleSize val="0"/>
        </c:dLbls>
        <c:axId val="2010510016"/>
        <c:axId val="2010166400"/>
      </c:scatterChart>
      <c:catAx>
        <c:axId val="201051001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10166400"/>
        <c:crosses val="autoZero"/>
        <c:auto val="1"/>
        <c:lblAlgn val="ctr"/>
        <c:lblOffset val="100"/>
        <c:noMultiLvlLbl val="0"/>
      </c:catAx>
      <c:valAx>
        <c:axId val="2010166400"/>
        <c:scaling>
          <c:orientation val="minMax"/>
          <c:max val="600"/>
        </c:scaling>
        <c:delete val="0"/>
        <c:axPos val="l"/>
        <c:numFmt formatCode="General" sourceLinked="1"/>
        <c:majorTickMark val="none"/>
        <c:minorTickMark val="none"/>
        <c:tickLblPos val="nextTo"/>
        <c:spPr>
          <a:noFill/>
          <a:ln>
            <a:solidFill>
              <a:schemeClr val="bg2"/>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10510016"/>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Valuation Summary for Molson Coors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stacked"/>
        <c:varyColors val="0"/>
        <c:ser>
          <c:idx val="0"/>
          <c:order val="0"/>
          <c:spPr>
            <a:solidFill>
              <a:schemeClr val="accent1"/>
            </a:solidFill>
            <a:ln>
              <a:noFill/>
            </a:ln>
            <a:effectLst/>
          </c:spPr>
          <c:invertIfNegative val="0"/>
          <c:cat>
            <c:strRef>
              <c:f>'TAP Football Field'!$B$9:$B$13</c:f>
              <c:strCache>
                <c:ptCount val="5"/>
                <c:pt idx="0">
                  <c:v>Public comps EV/Sales range 1.9x-2.2x</c:v>
                </c:pt>
                <c:pt idx="1">
                  <c:v>Public comps Forward PEG range 8.5x-9.0x</c:v>
                </c:pt>
                <c:pt idx="2">
                  <c:v>DCF w/ perpetuity growth range 0.5%-4.0%</c:v>
                </c:pt>
                <c:pt idx="3">
                  <c:v>DCF w/ EBITDA exit multiple range 4.6x-11.6x</c:v>
                </c:pt>
                <c:pt idx="4">
                  <c:v>52 week high-low</c:v>
                </c:pt>
              </c:strCache>
            </c:strRef>
          </c:cat>
          <c:val>
            <c:numRef>
              <c:f>'TAP Football Field'!$C$9:$C$13</c:f>
              <c:numCache>
                <c:formatCode>General</c:formatCode>
                <c:ptCount val="5"/>
              </c:numCache>
            </c:numRef>
          </c:val>
          <c:extLst>
            <c:ext xmlns:c16="http://schemas.microsoft.com/office/drawing/2014/chart" uri="{C3380CC4-5D6E-409C-BE32-E72D297353CC}">
              <c16:uniqueId val="{00000000-EF8E-4246-9D93-EC2DE4B1D12E}"/>
            </c:ext>
          </c:extLst>
        </c:ser>
        <c:ser>
          <c:idx val="1"/>
          <c:order val="1"/>
          <c:spPr>
            <a:no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'TAP Football Field'!$B$9:$B$13</c:f>
              <c:strCache>
                <c:ptCount val="5"/>
                <c:pt idx="0">
                  <c:v>Public comps EV/Sales range 1.9x-2.2x</c:v>
                </c:pt>
                <c:pt idx="1">
                  <c:v>Public comps Forward PEG range 8.5x-9.0x</c:v>
                </c:pt>
                <c:pt idx="2">
                  <c:v>DCF w/ perpetuity growth range 0.5%-4.0%</c:v>
                </c:pt>
                <c:pt idx="3">
                  <c:v>DCF w/ EBITDA exit multiple range 4.6x-11.6x</c:v>
                </c:pt>
                <c:pt idx="4">
                  <c:v>52 week high-low</c:v>
                </c:pt>
              </c:strCache>
            </c:strRef>
          </c:cat>
          <c:val>
            <c:numRef>
              <c:f>'TAP Football Field'!$D$9:$D$13</c:f>
              <c:numCache>
                <c:formatCode>"$"#,##0.00_);\("$"#,##0.00\)</c:formatCode>
                <c:ptCount val="5"/>
                <c:pt idx="0">
                  <c:v>77.036370769459495</c:v>
                </c:pt>
                <c:pt idx="1">
                  <c:v>45.991160934452921</c:v>
                </c:pt>
                <c:pt idx="2">
                  <c:v>81.775834717401139</c:v>
                </c:pt>
                <c:pt idx="3" formatCode="&quot;$&quot;#,##0.00_);[Red]\(&quot;$&quot;#,##0.00\)">
                  <c:v>39.891797788636197</c:v>
                </c:pt>
                <c:pt idx="4">
                  <c:v>42.94</c:v>
                </c:pt>
              </c:numCache>
            </c:numRef>
          </c:val>
          <c:extLst>
            <c:ext xmlns:c16="http://schemas.microsoft.com/office/drawing/2014/chart" uri="{C3380CC4-5D6E-409C-BE32-E72D297353CC}">
              <c16:uniqueId val="{00000001-EF8E-4246-9D93-EC2DE4B1D12E}"/>
            </c:ext>
          </c:extLst>
        </c:ser>
        <c:ser>
          <c:idx val="2"/>
          <c:order val="2"/>
          <c:spPr>
            <a:solidFill>
              <a:srgbClr val="2AB4D4"/>
            </a:solidFill>
            <a:ln>
              <a:noFill/>
            </a:ln>
            <a:effectLst/>
          </c:spPr>
          <c:invertIfNegative val="0"/>
          <c:cat>
            <c:strRef>
              <c:f>'TAP Football Field'!$B$9:$B$13</c:f>
              <c:strCache>
                <c:ptCount val="5"/>
                <c:pt idx="0">
                  <c:v>Public comps EV/Sales range 1.9x-2.2x</c:v>
                </c:pt>
                <c:pt idx="1">
                  <c:v>Public comps Forward PEG range 8.5x-9.0x</c:v>
                </c:pt>
                <c:pt idx="2">
                  <c:v>DCF w/ perpetuity growth range 0.5%-4.0%</c:v>
                </c:pt>
                <c:pt idx="3">
                  <c:v>DCF w/ EBITDA exit multiple range 4.6x-11.6x</c:v>
                </c:pt>
                <c:pt idx="4">
                  <c:v>52 week high-low</c:v>
                </c:pt>
              </c:strCache>
            </c:strRef>
          </c:cat>
          <c:val>
            <c:numRef>
              <c:f>'TAP Football Field'!$E$9:$E$13</c:f>
              <c:numCache>
                <c:formatCode>#,##0.00_);\(#,##0.00\)</c:formatCode>
                <c:ptCount val="5"/>
                <c:pt idx="0">
                  <c:v>19.196695727920186</c:v>
                </c:pt>
                <c:pt idx="1">
                  <c:v>2.4480091584610904</c:v>
                </c:pt>
                <c:pt idx="2">
                  <c:v>124.52481353844492</c:v>
                </c:pt>
                <c:pt idx="3">
                  <c:v>64.192618613731867</c:v>
                </c:pt>
                <c:pt idx="4">
                  <c:v>21.72</c:v>
                </c:pt>
              </c:numCache>
            </c:numRef>
          </c:val>
          <c:extLst>
            <c:ext xmlns:c16="http://schemas.microsoft.com/office/drawing/2014/chart" uri="{C3380CC4-5D6E-409C-BE32-E72D297353CC}">
              <c16:uniqueId val="{00000002-EF8E-4246-9D93-EC2DE4B1D12E}"/>
            </c:ext>
          </c:extLst>
        </c:ser>
        <c:ser>
          <c:idx val="3"/>
          <c:order val="3"/>
          <c:spPr>
            <a:no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'TAP Football Field'!$B$9:$B$13</c:f>
              <c:strCache>
                <c:ptCount val="5"/>
                <c:pt idx="0">
                  <c:v>Public comps EV/Sales range 1.9x-2.2x</c:v>
                </c:pt>
                <c:pt idx="1">
                  <c:v>Public comps Forward PEG range 8.5x-9.0x</c:v>
                </c:pt>
                <c:pt idx="2">
                  <c:v>DCF w/ perpetuity growth range 0.5%-4.0%</c:v>
                </c:pt>
                <c:pt idx="3">
                  <c:v>DCF w/ EBITDA exit multiple range 4.6x-11.6x</c:v>
                </c:pt>
                <c:pt idx="4">
                  <c:v>52 week high-low</c:v>
                </c:pt>
              </c:strCache>
            </c:strRef>
          </c:cat>
          <c:val>
            <c:numRef>
              <c:f>'TAP Football Field'!$F$9:$F$13</c:f>
              <c:numCache>
                <c:formatCode>"$"#,##0.00_);\("$"#,##0.00\)</c:formatCode>
                <c:ptCount val="5"/>
                <c:pt idx="0">
                  <c:v>96.233066497379681</c:v>
                </c:pt>
                <c:pt idx="1">
                  <c:v>48.439170092914011</c:v>
                </c:pt>
                <c:pt idx="2">
                  <c:v>206.30064825584606</c:v>
                </c:pt>
                <c:pt idx="3">
                  <c:v>104.08441640236806</c:v>
                </c:pt>
                <c:pt idx="4">
                  <c:v>64.66</c:v>
                </c:pt>
              </c:numCache>
            </c:numRef>
          </c:val>
          <c:extLst>
            <c:ext xmlns:c16="http://schemas.microsoft.com/office/drawing/2014/chart" uri="{C3380CC4-5D6E-409C-BE32-E72D297353CC}">
              <c16:uniqueId val="{00000003-EF8E-4246-9D93-EC2DE4B1D12E}"/>
            </c:ext>
          </c:extLst>
        </c:ser>
        <c:dLbls>
          <c:showLegendKey val="0"/>
          <c:showVal val="0"/>
          <c:showCatName val="0"/>
          <c:showSerName val="0"/>
          <c:showPercent val="0"/>
          <c:showBubbleSize val="0"/>
        </c:dLbls>
        <c:gapWidth val="150"/>
        <c:overlap val="100"/>
        <c:axId val="1896342719"/>
        <c:axId val="1896344511"/>
      </c:barChart>
      <c:scatterChart>
        <c:scatterStyle val="smoothMarker"/>
        <c:varyColors val="0"/>
        <c:ser>
          <c:idx val="4"/>
          <c:order val="4"/>
          <c:spPr>
            <a:ln w="28575" cap="rnd">
              <a:solidFill>
                <a:srgbClr val="004AAD"/>
              </a:solidFill>
              <a:prstDash val="dash"/>
              <a:round/>
            </a:ln>
            <a:effectLst/>
          </c:spPr>
          <c:marker>
            <c:symbol val="none"/>
          </c:marker>
          <c:dLbls>
            <c:dLbl>
              <c:idx val="0"/>
              <c:delete val="1"/>
              <c:extLst>
                <c:ext xmlns:c15="http://schemas.microsoft.com/office/drawing/2012/chart" uri="{CE6537A1-D6FC-4f65-9D91-7224C49458BB}"/>
                <c:ext xmlns:c16="http://schemas.microsoft.com/office/drawing/2014/chart" uri="{C3380CC4-5D6E-409C-BE32-E72D297353CC}">
                  <c16:uniqueId val="{00000008-EF8E-4246-9D93-EC2DE4B1D12E}"/>
                </c:ext>
              </c:extLst>
            </c:dLbl>
            <c:dLbl>
              <c:idx val="1"/>
              <c:delete val="1"/>
              <c:extLst>
                <c:ext xmlns:c15="http://schemas.microsoft.com/office/drawing/2012/chart" uri="{CE6537A1-D6FC-4f65-9D91-7224C49458BB}"/>
                <c:ext xmlns:c16="http://schemas.microsoft.com/office/drawing/2014/chart" uri="{C3380CC4-5D6E-409C-BE32-E72D297353CC}">
                  <c16:uniqueId val="{00000007-EF8E-4246-9D93-EC2DE4B1D12E}"/>
                </c:ext>
              </c:extLst>
            </c:dLbl>
            <c:dLbl>
              <c:idx val="2"/>
              <c:delete val="1"/>
              <c:extLst>
                <c:ext xmlns:c15="http://schemas.microsoft.com/office/drawing/2012/chart" uri="{CE6537A1-D6FC-4f65-9D91-7224C49458BB}"/>
                <c:ext xmlns:c16="http://schemas.microsoft.com/office/drawing/2014/chart" uri="{C3380CC4-5D6E-409C-BE32-E72D297353CC}">
                  <c16:uniqueId val="{00000006-EF8E-4246-9D93-EC2DE4B1D12E}"/>
                </c:ext>
              </c:extLst>
            </c:dLbl>
            <c:dLbl>
              <c:idx val="3"/>
              <c:delete val="1"/>
              <c:extLst>
                <c:ext xmlns:c15="http://schemas.microsoft.com/office/drawing/2012/chart" uri="{CE6537A1-D6FC-4f65-9D91-7224C49458BB}"/>
                <c:ext xmlns:c16="http://schemas.microsoft.com/office/drawing/2014/chart" uri="{C3380CC4-5D6E-409C-BE32-E72D297353CC}">
                  <c16:uniqueId val="{00000005-EF8E-4246-9D93-EC2DE4B1D12E}"/>
                </c:ext>
              </c:extLst>
            </c:dLbl>
            <c:dLbl>
              <c:idx val="4"/>
              <c:layout>
                <c:manualLayout>
                  <c:x val="2.113053025832929E-2"/>
                  <c:y val="0"/>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EF8E-4246-9D93-EC2DE4B1D12E}"/>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'TAP Football Field'!$B$9:$B$13</c:f>
              <c:strCache>
                <c:ptCount val="5"/>
                <c:pt idx="0">
                  <c:v>Public comps EV/Sales range 1.9x-2.2x</c:v>
                </c:pt>
                <c:pt idx="1">
                  <c:v>Public comps Forward PEG range 8.5x-9.0x</c:v>
                </c:pt>
                <c:pt idx="2">
                  <c:v>DCF w/ perpetuity growth range 0.5%-4.0%</c:v>
                </c:pt>
                <c:pt idx="3">
                  <c:v>DCF w/ EBITDA exit multiple range 4.6x-11.6x</c:v>
                </c:pt>
                <c:pt idx="4">
                  <c:v>52 week high-low</c:v>
                </c:pt>
              </c:strCache>
            </c:strRef>
          </c:xVal>
          <c:yVal>
            <c:numRef>
              <c:f>'TAP Football Field'!$K$9:$K$13</c:f>
              <c:numCache>
                <c:formatCode>"$"#,##0.00_);\("$"#,##0.00\)</c:formatCode>
                <c:ptCount val="5"/>
                <c:pt idx="0">
                  <c:v>45.13</c:v>
                </c:pt>
                <c:pt idx="1">
                  <c:v>45.13</c:v>
                </c:pt>
                <c:pt idx="2">
                  <c:v>45.13</c:v>
                </c:pt>
                <c:pt idx="3">
                  <c:v>45.13</c:v>
                </c:pt>
                <c:pt idx="4">
                  <c:v>45.13</c:v>
                </c:pt>
              </c:numCache>
            </c:numRef>
          </c:yVal>
          <c:smooth val="1"/>
          <c:extLst>
            <c:ext xmlns:c16="http://schemas.microsoft.com/office/drawing/2014/chart" uri="{C3380CC4-5D6E-409C-BE32-E72D297353CC}">
              <c16:uniqueId val="{00000004-EF8E-4246-9D93-EC2DE4B1D12E}"/>
            </c:ext>
          </c:extLst>
        </c:ser>
        <c:dLbls>
          <c:showLegendKey val="0"/>
          <c:showVal val="0"/>
          <c:showCatName val="0"/>
          <c:showSerName val="0"/>
          <c:showPercent val="0"/>
          <c:showBubbleSize val="0"/>
        </c:dLbls>
        <c:axId val="1878115199"/>
        <c:axId val="1858403199"/>
      </c:scatterChart>
      <c:catAx>
        <c:axId val="1896342719"/>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896344511"/>
        <c:crosses val="autoZero"/>
        <c:auto val="1"/>
        <c:lblAlgn val="ctr"/>
        <c:lblOffset val="100"/>
        <c:noMultiLvlLbl val="0"/>
      </c:catAx>
      <c:valAx>
        <c:axId val="1896344511"/>
        <c:scaling>
          <c:orientation val="minMax"/>
          <c:max val="250"/>
        </c:scaling>
        <c:delete val="0"/>
        <c:axPos val="l"/>
        <c:numFmt formatCode="#,##0.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896342719"/>
        <c:crosses val="autoZero"/>
        <c:crossBetween val="between"/>
      </c:valAx>
      <c:valAx>
        <c:axId val="1858403199"/>
        <c:scaling>
          <c:orientation val="minMax"/>
        </c:scaling>
        <c:delete val="1"/>
        <c:axPos val="r"/>
        <c:numFmt formatCode="&quot;$&quot;#,##0.00_);\(&quot;$&quot;#,##0.00\)" sourceLinked="1"/>
        <c:majorTickMark val="out"/>
        <c:minorTickMark val="none"/>
        <c:tickLblPos val="nextTo"/>
        <c:crossAx val="1878115199"/>
        <c:crosses val="max"/>
        <c:crossBetween val="midCat"/>
      </c:valAx>
      <c:valAx>
        <c:axId val="1878115199"/>
        <c:scaling>
          <c:orientation val="minMax"/>
        </c:scaling>
        <c:delete val="1"/>
        <c:axPos val="t"/>
        <c:majorTickMark val="out"/>
        <c:minorTickMark val="none"/>
        <c:tickLblPos val="nextTo"/>
        <c:crossAx val="1858403199"/>
        <c:crosses val="max"/>
        <c:crossBetween val="midCat"/>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1" Type="http://schemas.openxmlformats.org/officeDocument/2006/relationships/chart" Target="../charts/chart2.xml"/></Relationships>
</file>

<file path=xl/drawings/_rels/drawing4.xml.rels><?xml version="1.0" encoding="UTF-8" standalone="yes"?>
<Relationships xmlns="http://schemas.openxmlformats.org/package/2006/relationships"><Relationship Id="rId1" Type="http://schemas.openxmlformats.org/officeDocument/2006/relationships/chart" Target="../charts/chart3.xml"/></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0</xdr:colOff>
      <xdr:row>2</xdr:row>
      <xdr:rowOff>12700</xdr:rowOff>
    </xdr:from>
    <xdr:to>
      <xdr:col>14</xdr:col>
      <xdr:colOff>25400</xdr:colOff>
      <xdr:row>23</xdr:row>
      <xdr:rowOff>50800</xdr:rowOff>
    </xdr:to>
    <xdr:grpSp>
      <xdr:nvGrpSpPr>
        <xdr:cNvPr id="4" name="Group 3">
          <a:extLst>
            <a:ext uri="{FF2B5EF4-FFF2-40B4-BE49-F238E27FC236}">
              <a16:creationId xmlns:a16="http://schemas.microsoft.com/office/drawing/2014/main" id="{0575A005-FC89-45C4-0C69-72674DB16CEA}"/>
            </a:ext>
          </a:extLst>
        </xdr:cNvPr>
        <xdr:cNvGrpSpPr/>
      </xdr:nvGrpSpPr>
      <xdr:grpSpPr>
        <a:xfrm>
          <a:off x="825500" y="419100"/>
          <a:ext cx="10756900" cy="4305300"/>
          <a:chOff x="1333500" y="508000"/>
          <a:chExt cx="10490200" cy="4305300"/>
        </a:xfrm>
      </xdr:grpSpPr>
      <xdr:sp macro="" textlink="">
        <xdr:nvSpPr>
          <xdr:cNvPr id="2" name="TextBox 1">
            <a:extLst>
              <a:ext uri="{FF2B5EF4-FFF2-40B4-BE49-F238E27FC236}">
                <a16:creationId xmlns:a16="http://schemas.microsoft.com/office/drawing/2014/main" id="{A4999C31-128E-3326-061D-D8CE3FB5157C}"/>
              </a:ext>
            </a:extLst>
          </xdr:cNvPr>
          <xdr:cNvSpPr txBox="1"/>
        </xdr:nvSpPr>
        <xdr:spPr>
          <a:xfrm>
            <a:off x="1333500" y="508000"/>
            <a:ext cx="10490200" cy="43053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6600"/>
              <a:t>Complete Valuation</a:t>
            </a:r>
            <a:r>
              <a:rPr lang="en-US" sz="6600" baseline="0"/>
              <a:t> of Molson Coors Company</a:t>
            </a:r>
          </a:p>
          <a:p>
            <a:r>
              <a:rPr lang="en-US" sz="6600" baseline="0"/>
              <a:t>By: George Tupy</a:t>
            </a:r>
            <a:endParaRPr lang="en-US" sz="6600"/>
          </a:p>
        </xdr:txBody>
      </xdr:sp>
      <xdr:pic>
        <xdr:nvPicPr>
          <xdr:cNvPr id="3" name="Picture 2" descr="Home | Molson Coors">
            <a:extLst>
              <a:ext uri="{FF2B5EF4-FFF2-40B4-BE49-F238E27FC236}">
                <a16:creationId xmlns:a16="http://schemas.microsoft.com/office/drawing/2014/main" id="{65274BA2-89FE-49F5-98DB-ED6EA81D46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089" y="3624870"/>
            <a:ext cx="4584700" cy="1074130"/>
          </a:xfrm>
          <a:prstGeom prst="rect">
            <a:avLst/>
          </a:prstGeom>
          <a:noFill/>
          <a:extLst>
            <a:ext uri="{909E8E84-426E-40DD-AFC4-6F175D3DCCD1}">
              <a14:hiddenFill xmlns:a14="http://schemas.microsoft.com/office/drawing/2010/main">
                <a:solidFill>
                  <a:srgbClr val="FFFFFF"/>
                </a:solidFill>
              </a14:hiddenFill>
            </a:ext>
          </a:extLst>
        </xdr:spPr>
      </xdr:pic>
    </xdr:grpSp>
    <xdr:clientData/>
  </xdr:twoCellAnchor>
</xdr:wsDr>
</file>

<file path=xl/drawings/drawing2.xml><?xml version="1.0" encoding="utf-8"?>
<xdr:wsDr xmlns:xdr="http://schemas.openxmlformats.org/drawingml/2006/spreadsheetDrawing" xmlns:a="http://schemas.openxmlformats.org/drawingml/2006/main">
  <xdr:twoCellAnchor>
    <xdr:from>
      <xdr:col>20</xdr:col>
      <xdr:colOff>108704</xdr:colOff>
      <xdr:row>23</xdr:row>
      <xdr:rowOff>11409</xdr:rowOff>
    </xdr:from>
    <xdr:to>
      <xdr:col>31</xdr:col>
      <xdr:colOff>441272</xdr:colOff>
      <xdr:row>42</xdr:row>
      <xdr:rowOff>161441</xdr:rowOff>
    </xdr:to>
    <xdr:graphicFrame macro="">
      <xdr:nvGraphicFramePr>
        <xdr:cNvPr id="2" name="Chart 1">
          <a:extLst>
            <a:ext uri="{FF2B5EF4-FFF2-40B4-BE49-F238E27FC236}">
              <a16:creationId xmlns:a16="http://schemas.microsoft.com/office/drawing/2014/main" id="{8C78CE0E-FB3B-3676-47EE-4BB196831B45}"/>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5</xdr:col>
      <xdr:colOff>779695</xdr:colOff>
      <xdr:row>16</xdr:row>
      <xdr:rowOff>158646</xdr:rowOff>
    </xdr:from>
    <xdr:to>
      <xdr:col>14</xdr:col>
      <xdr:colOff>187377</xdr:colOff>
      <xdr:row>31</xdr:row>
      <xdr:rowOff>41640</xdr:rowOff>
    </xdr:to>
    <xdr:graphicFrame macro="">
      <xdr:nvGraphicFramePr>
        <xdr:cNvPr id="2" name="Chart 1">
          <a:extLst>
            <a:ext uri="{FF2B5EF4-FFF2-40B4-BE49-F238E27FC236}">
              <a16:creationId xmlns:a16="http://schemas.microsoft.com/office/drawing/2014/main" id="{305F6BEF-B5AA-FE3B-02ED-995DBF6855FD}"/>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3</xdr:col>
      <xdr:colOff>103056</xdr:colOff>
      <xdr:row>14</xdr:row>
      <xdr:rowOff>85777</xdr:rowOff>
    </xdr:from>
    <xdr:to>
      <xdr:col>11</xdr:col>
      <xdr:colOff>135326</xdr:colOff>
      <xdr:row>35</xdr:row>
      <xdr:rowOff>41639</xdr:rowOff>
    </xdr:to>
    <xdr:graphicFrame macro="">
      <xdr:nvGraphicFramePr>
        <xdr:cNvPr id="2" name="Chart 1">
          <a:extLst>
            <a:ext uri="{FF2B5EF4-FFF2-40B4-BE49-F238E27FC236}">
              <a16:creationId xmlns:a16="http://schemas.microsoft.com/office/drawing/2014/main" id="{0769B8A7-B803-FD06-E223-1F47A2E7D75C}"/>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1041400</xdr:colOff>
      <xdr:row>2</xdr:row>
      <xdr:rowOff>101600</xdr:rowOff>
    </xdr:to>
    <xdr:pic>
      <xdr:nvPicPr>
        <xdr:cNvPr id="2" name="Picture 2">
          <a:extLst>
            <a:ext uri="{FF2B5EF4-FFF2-40B4-BE49-F238E27FC236}">
              <a16:creationId xmlns:a16="http://schemas.microsoft.com/office/drawing/2014/main" id="{DE51F2C2-975A-0D45-B154-7DA7BE83EF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825500" cy="381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Dropbox/Teaching/FNCE%203477/Gentex%20case%20study/2018S/10.%20Gentex_ValuationChart_Solution_2018S.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htran13/Downloads/KKD_multiple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NTX_Chart"/>
      <sheetName val="GNTX_Comps"/>
      <sheetName val="VC_LTM"/>
      <sheetName val="VC_IS"/>
      <sheetName val="VC_CF"/>
      <sheetName val="VC_BS"/>
      <sheetName val="THRM_LTM"/>
      <sheetName val="THRM_IS"/>
      <sheetName val="THRM_CF"/>
      <sheetName val="THRM_BS"/>
      <sheetName val="BWA_LTM"/>
      <sheetName val="BWA_IS"/>
      <sheetName val="BWA_CF"/>
      <sheetName val="BWA_BS"/>
      <sheetName val="AXL_LTM"/>
      <sheetName val="AXL_IS"/>
      <sheetName val="AXL_CF"/>
      <sheetName val="AXL_BS"/>
      <sheetName val="DAN_LTM"/>
      <sheetName val="DAN_IS"/>
      <sheetName val="DAN_CF"/>
      <sheetName val="DAN_BS"/>
      <sheetName val="LEA_LTM"/>
      <sheetName val="LEA_IS"/>
      <sheetName val="LEA_CF"/>
      <sheetName val="LEA_BS"/>
      <sheetName val="GNTX_LTM"/>
      <sheetName val="RegBeta"/>
      <sheetName val="Gentex_BS_Vertical"/>
      <sheetName val="Gentex_IS_Vertical"/>
      <sheetName val="Gentex_IS_Horizontal"/>
      <sheetName val="Gentex_Ratios"/>
      <sheetName val="GNTX_DCF"/>
      <sheetName val="Gentex_IS"/>
      <sheetName val="Gentex_CF"/>
      <sheetName val="Gentex_BS"/>
    </sheetNames>
    <sheetDataSet>
      <sheetData sheetId="0">
        <row r="8">
          <cell r="F8" t="str">
            <v>Low</v>
          </cell>
        </row>
      </sheetData>
      <sheetData sheetId="1"/>
      <sheetData sheetId="2"/>
      <sheetData sheetId="3"/>
      <sheetData sheetId="4">
        <row r="109">
          <cell r="B109">
            <v>393</v>
          </cell>
        </row>
      </sheetData>
      <sheetData sheetId="5">
        <row r="109">
          <cell r="B109">
            <v>393</v>
          </cell>
        </row>
      </sheetData>
      <sheetData sheetId="6"/>
      <sheetData sheetId="7"/>
      <sheetData sheetId="8">
        <row r="78">
          <cell r="B78">
            <v>144.66900000000001</v>
          </cell>
        </row>
      </sheetData>
      <sheetData sheetId="9">
        <row r="78">
          <cell r="B78">
            <v>144.66900000000001</v>
          </cell>
        </row>
      </sheetData>
      <sheetData sheetId="10"/>
      <sheetData sheetId="11"/>
      <sheetData sheetId="12">
        <row r="111">
          <cell r="B111">
            <v>2188.2999999999997</v>
          </cell>
        </row>
      </sheetData>
      <sheetData sheetId="13">
        <row r="111">
          <cell r="B111">
            <v>2188.2999999999997</v>
          </cell>
        </row>
      </sheetData>
      <sheetData sheetId="14"/>
      <sheetData sheetId="15"/>
      <sheetData sheetId="16">
        <row r="65">
          <cell r="B65">
            <v>3975.2000000000003</v>
          </cell>
        </row>
      </sheetData>
      <sheetData sheetId="17">
        <row r="65">
          <cell r="B65">
            <v>3975.2000000000003</v>
          </cell>
        </row>
      </sheetData>
      <sheetData sheetId="18"/>
      <sheetData sheetId="19"/>
      <sheetData sheetId="20">
        <row r="94">
          <cell r="B94">
            <v>1799</v>
          </cell>
        </row>
      </sheetData>
      <sheetData sheetId="21">
        <row r="94">
          <cell r="B94">
            <v>1799</v>
          </cell>
        </row>
      </sheetData>
      <sheetData sheetId="22"/>
      <sheetData sheetId="23"/>
      <sheetData sheetId="24">
        <row r="58">
          <cell r="B58">
            <v>1960.5</v>
          </cell>
        </row>
      </sheetData>
      <sheetData sheetId="25">
        <row r="11">
          <cell r="E11">
            <v>-644.27200000000005</v>
          </cell>
        </row>
        <row r="58">
          <cell r="B58">
            <v>1960.5</v>
          </cell>
        </row>
      </sheetData>
      <sheetData sheetId="26">
        <row r="11">
          <cell r="E11">
            <v>-644.27200000000005</v>
          </cell>
        </row>
        <row r="12">
          <cell r="E12">
            <v>0</v>
          </cell>
        </row>
        <row r="13">
          <cell r="E13">
            <v>0</v>
          </cell>
        </row>
      </sheetData>
      <sheetData sheetId="27">
        <row r="2">
          <cell r="H2">
            <v>1.2817751894259708</v>
          </cell>
        </row>
      </sheetData>
      <sheetData sheetId="28"/>
      <sheetData sheetId="29"/>
      <sheetData sheetId="30"/>
      <sheetData sheetId="31"/>
      <sheetData sheetId="32"/>
      <sheetData sheetId="33"/>
      <sheetData sheetId="34"/>
      <sheetData sheetId="35">
        <row r="30">
          <cell r="B30">
            <v>78</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Summary_Perf"/>
      <sheetName val="KKD_IS_LY"/>
      <sheetName val="KKD_IS_LQ"/>
      <sheetName val="KKD_BS_LQ"/>
      <sheetName val="KKD_LTM"/>
      <sheetName val="Dunkin_BS_LY"/>
      <sheetName val="Dunkin_IS_LY"/>
      <sheetName val="Denny_BS_LQ"/>
      <sheetName val="Denny_IS_LY"/>
      <sheetName val="Denny_IS_LQ"/>
      <sheetName val="Denny_LTM"/>
      <sheetName val="Sonic_BS_LQ"/>
      <sheetName val="Sonic_IS_LY"/>
      <sheetName val="Sonic_IS_LQ"/>
      <sheetName val="Sonic_LTM"/>
      <sheetName val="Panera_BS_LY"/>
      <sheetName val="Panera_IS_LY"/>
      <sheetName val="DineEquity_BS_LQ"/>
      <sheetName val="DineEquity_IS_LY"/>
      <sheetName val="DineEquity_IS_LQ"/>
      <sheetName val="DineEquity_LTM"/>
      <sheetName val="RedRobin_BS_LY"/>
      <sheetName val="RedRobin_IS_LY"/>
    </sheetNames>
    <sheetDataSet>
      <sheetData sheetId="0"/>
      <sheetData sheetId="1"/>
      <sheetData sheetId="2"/>
      <sheetData sheetId="3"/>
      <sheetData sheetId="4">
        <row r="3">
          <cell r="B3">
            <v>37.268999999999998</v>
          </cell>
        </row>
      </sheetData>
      <sheetData sheetId="5">
        <row r="6">
          <cell r="E6">
            <v>68.782999999999973</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javascript:void(0);" TargetMode="Externa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EF0860-680F-9949-ADEA-BB62CA6C9C17}">
  <dimension ref="A1"/>
  <sheetViews>
    <sheetView tabSelected="1" workbookViewId="0">
      <selection activeCell="O20" sqref="O20"/>
    </sheetView>
  </sheetViews>
  <sheetFormatPr baseColWidth="10" defaultRowHeight="16" x14ac:dyDescent="0.2"/>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7EA252-4838-471C-AEAC-C32D0ABDD5F8}">
  <sheetPr codeName="Sheet111"/>
  <dimension ref="A2:Z171"/>
  <sheetViews>
    <sheetView showGridLines="0" topLeftCell="A46" zoomScale="125" zoomScaleNormal="85" workbookViewId="0">
      <selection activeCell="S45" sqref="S45"/>
    </sheetView>
  </sheetViews>
  <sheetFormatPr baseColWidth="10" defaultColWidth="7.83203125" defaultRowHeight="14" outlineLevelRow="1" x14ac:dyDescent="0.15"/>
  <cols>
    <col min="1" max="1" width="3.1640625" style="33" customWidth="1"/>
    <col min="2" max="2" width="26" style="33" customWidth="1"/>
    <col min="3" max="3" width="14" style="33" customWidth="1"/>
    <col min="4" max="4" width="9.33203125" style="33" customWidth="1"/>
    <col min="5" max="5" width="10" style="33" bestFit="1" customWidth="1"/>
    <col min="6" max="6" width="15.1640625" style="33" customWidth="1"/>
    <col min="7" max="7" width="11.33203125" style="33" bestFit="1" customWidth="1"/>
    <col min="8" max="8" width="11.6640625" style="33" bestFit="1" customWidth="1"/>
    <col min="9" max="10" width="11.33203125" style="33" bestFit="1" customWidth="1"/>
    <col min="11" max="12" width="10.6640625" style="33" customWidth="1"/>
    <col min="13" max="13" width="11.83203125" style="33" customWidth="1"/>
    <col min="14" max="14" width="10.83203125" style="33" customWidth="1"/>
    <col min="15" max="15" width="11" style="33" customWidth="1"/>
    <col min="16" max="17" width="7.83203125" style="33"/>
    <col min="18" max="18" width="8.5" style="33" bestFit="1" customWidth="1"/>
    <col min="19" max="19" width="9.6640625" style="33" customWidth="1"/>
    <col min="20" max="16384" width="7.83203125" style="33"/>
  </cols>
  <sheetData>
    <row r="2" spans="1:15" x14ac:dyDescent="0.15">
      <c r="B2" s="95" t="s">
        <v>270</v>
      </c>
      <c r="C2" s="94" t="s">
        <v>271</v>
      </c>
    </row>
    <row r="3" spans="1:15" x14ac:dyDescent="0.15">
      <c r="B3" s="68" t="s">
        <v>194</v>
      </c>
      <c r="C3" s="93" t="s">
        <v>272</v>
      </c>
    </row>
    <row r="4" spans="1:15" x14ac:dyDescent="0.15">
      <c r="B4" s="68" t="s">
        <v>269</v>
      </c>
      <c r="C4" s="93">
        <v>44.26</v>
      </c>
    </row>
    <row r="5" spans="1:15" x14ac:dyDescent="0.15">
      <c r="B5" s="67" t="s">
        <v>268</v>
      </c>
      <c r="C5" s="92">
        <v>45932</v>
      </c>
    </row>
    <row r="7" spans="1:15" x14ac:dyDescent="0.15">
      <c r="B7" s="62" t="str">
        <f>C2&amp;" ("&amp;C3&amp;") DISCOUNTED CASH FLOWS MODEL"</f>
        <v>Molson Coors (TAP) DISCOUNTED CASH FLOWS MODEL</v>
      </c>
    </row>
    <row r="8" spans="1:15" x14ac:dyDescent="0.15">
      <c r="B8" s="91" t="s">
        <v>342</v>
      </c>
      <c r="D8" s="91"/>
      <c r="E8" s="91"/>
    </row>
    <row r="9" spans="1:15" x14ac:dyDescent="0.15">
      <c r="B9" s="91"/>
      <c r="D9" s="91"/>
      <c r="E9" s="91"/>
    </row>
    <row r="10" spans="1:15" x14ac:dyDescent="0.15">
      <c r="A10" s="33" t="s">
        <v>187</v>
      </c>
      <c r="B10" s="45" t="s">
        <v>267</v>
      </c>
      <c r="C10" s="44"/>
      <c r="D10" s="45"/>
      <c r="E10" s="45"/>
      <c r="F10" s="44"/>
      <c r="G10" s="44"/>
      <c r="H10" s="44"/>
      <c r="I10" s="44"/>
      <c r="J10" s="44"/>
      <c r="K10" s="44"/>
      <c r="L10" s="44"/>
      <c r="M10" s="44"/>
      <c r="N10" s="44"/>
      <c r="O10" s="44"/>
    </row>
    <row r="11" spans="1:15" outlineLevel="1" x14ac:dyDescent="0.15">
      <c r="C11" s="91"/>
      <c r="D11" s="91"/>
      <c r="E11" s="91"/>
    </row>
    <row r="12" spans="1:15" outlineLevel="1" x14ac:dyDescent="0.15">
      <c r="B12" s="91"/>
      <c r="C12" s="91"/>
      <c r="D12" s="91"/>
      <c r="E12" s="91"/>
      <c r="F12" s="78" t="s">
        <v>99</v>
      </c>
      <c r="G12" s="77"/>
      <c r="H12" s="77"/>
      <c r="I12" s="77"/>
      <c r="J12" s="76"/>
      <c r="K12" s="78" t="s">
        <v>232</v>
      </c>
      <c r="L12" s="77"/>
      <c r="M12" s="77"/>
      <c r="N12" s="77"/>
      <c r="O12" s="76"/>
    </row>
    <row r="13" spans="1:15" outlineLevel="1" x14ac:dyDescent="0.15">
      <c r="B13" s="91"/>
      <c r="C13" s="91"/>
      <c r="D13" s="91"/>
      <c r="E13" s="91"/>
      <c r="F13" s="90">
        <v>2020</v>
      </c>
      <c r="G13" s="89">
        <f t="shared" ref="G13:O13" si="0">F13+1</f>
        <v>2021</v>
      </c>
      <c r="H13" s="89">
        <f t="shared" si="0"/>
        <v>2022</v>
      </c>
      <c r="I13" s="89">
        <f t="shared" si="0"/>
        <v>2023</v>
      </c>
      <c r="J13" s="88">
        <f t="shared" si="0"/>
        <v>2024</v>
      </c>
      <c r="K13" s="87">
        <f t="shared" si="0"/>
        <v>2025</v>
      </c>
      <c r="L13" s="87">
        <f t="shared" si="0"/>
        <v>2026</v>
      </c>
      <c r="M13" s="87">
        <f t="shared" si="0"/>
        <v>2027</v>
      </c>
      <c r="N13" s="87">
        <f t="shared" si="0"/>
        <v>2028</v>
      </c>
      <c r="O13" s="87">
        <f t="shared" si="0"/>
        <v>2029</v>
      </c>
    </row>
    <row r="14" spans="1:15" outlineLevel="1" x14ac:dyDescent="0.15">
      <c r="B14" s="96" t="s">
        <v>87</v>
      </c>
      <c r="F14" s="104">
        <f>INDEX('Income Statement'!$A$10:$F$113,MATCH(TAP_DCF!$B14,'Income Statement'!$A$10:$A$113,0),MATCH(TAP_DCF!F$13,'Income Statement'!$A$11:$F$11))</f>
        <v>9654</v>
      </c>
      <c r="G14" s="104">
        <f>INDEX('Income Statement'!$A$10:$F$111,MATCH(TAP_DCF!$B14,'Income Statement'!$A$10:$A$111,0),MATCH(TAP_DCF!G$13,'Income Statement'!$A$11:$F$11))</f>
        <v>10279.700000000001</v>
      </c>
      <c r="H14" s="104">
        <f>INDEX('Income Statement'!$A$10:$F$111,MATCH(TAP_DCF!$B14,'Income Statement'!$A$10:$A$111,0),MATCH(TAP_DCF!H$13,'Income Statement'!$A$11:$F$11))</f>
        <v>10701</v>
      </c>
      <c r="I14" s="104">
        <f>INDEX('Income Statement'!$A$10:$F$111,MATCH(TAP_DCF!$B14,'Income Statement'!$A$10:$A$111,0),MATCH(TAP_DCF!I$13,'Income Statement'!$A$11:$F$11))</f>
        <v>11702.1</v>
      </c>
      <c r="J14" s="105">
        <f>INDEX('Income Statement'!$A$10:$F$111,MATCH(TAP_DCF!$B14,'Income Statement'!$A$10:$A$111,0),MATCH(TAP_DCF!J$13,'Income Statement'!$A$11:$F$11))</f>
        <v>11627</v>
      </c>
      <c r="K14" s="121">
        <f>J14*(1+K32)</f>
        <v>11603.745999999999</v>
      </c>
      <c r="L14" s="121">
        <f>K14*(1+L32)</f>
        <v>11615.349745999998</v>
      </c>
      <c r="M14" s="121">
        <f>L14*(1+M32)</f>
        <v>11661.811144983998</v>
      </c>
      <c r="N14" s="121">
        <f>M14*(1+N32)</f>
        <v>11743.443822998885</v>
      </c>
      <c r="O14" s="121">
        <f>N14*(1+O32)</f>
        <v>11860.878261228874</v>
      </c>
    </row>
    <row r="15" spans="1:15" outlineLevel="1" x14ac:dyDescent="0.15">
      <c r="B15" s="96" t="s">
        <v>84</v>
      </c>
      <c r="F15" s="119">
        <f>INDEX('Income Statement'!$A$10:$F$111,MATCH(TAP_DCF!$B15,'Income Statement'!$A$10:$A$111,0),MATCH(TAP_DCF!F$13,'Income Statement'!$A$11:$F$11))</f>
        <v>5858.1</v>
      </c>
      <c r="G15" s="119">
        <f>INDEX('Income Statement'!$A$10:$F$111,MATCH(TAP_DCF!$B15,'Income Statement'!$A$10:$A$111,0),MATCH(TAP_DCF!G$13,'Income Statement'!$A$11:$F$11))</f>
        <v>6226.3</v>
      </c>
      <c r="H15" s="119">
        <f>INDEX('Income Statement'!$A$10:$F$111,MATCH(TAP_DCF!$B15,'Income Statement'!$A$10:$A$111,0),MATCH(TAP_DCF!H$13,'Income Statement'!$A$11:$F$11))</f>
        <v>7045.8</v>
      </c>
      <c r="I15" s="119">
        <f>INDEX('Income Statement'!$A$10:$F$111,MATCH(TAP_DCF!$B15,'Income Statement'!$A$10:$A$111,0),MATCH(TAP_DCF!I$13,'Income Statement'!$A$11:$F$11))</f>
        <v>7333.3</v>
      </c>
      <c r="J15" s="120">
        <f>INDEX('Income Statement'!$A$10:$F$111,MATCH(TAP_DCF!$B15,'Income Statement'!$A$10:$A$111,0),MATCH(TAP_DCF!J$13,'Income Statement'!$A$11:$F$11))</f>
        <v>7093.6</v>
      </c>
      <c r="K15" s="122">
        <f>K14*K33</f>
        <v>7194.3225199999997</v>
      </c>
      <c r="L15" s="122">
        <f>L14*L33</f>
        <v>7186.9976553374991</v>
      </c>
      <c r="M15" s="122">
        <f>M14*M33</f>
        <v>7201.1683820276194</v>
      </c>
      <c r="N15" s="122">
        <f>N14*N33</f>
        <v>7236.8972559230633</v>
      </c>
      <c r="O15" s="122">
        <f>O14*O33</f>
        <v>7294.4401306557593</v>
      </c>
    </row>
    <row r="16" spans="1:15" outlineLevel="1" x14ac:dyDescent="0.15">
      <c r="B16" s="102" t="s">
        <v>266</v>
      </c>
      <c r="C16" s="101"/>
      <c r="D16" s="101"/>
      <c r="E16" s="101"/>
      <c r="F16" s="107">
        <f>F14-F15</f>
        <v>3795.8999999999996</v>
      </c>
      <c r="G16" s="107">
        <f t="shared" ref="G16:O16" si="1">G14-G15</f>
        <v>4053.4000000000005</v>
      </c>
      <c r="H16" s="107">
        <f t="shared" si="1"/>
        <v>3655.2</v>
      </c>
      <c r="I16" s="107">
        <f t="shared" si="1"/>
        <v>4368.8</v>
      </c>
      <c r="J16" s="108">
        <f t="shared" si="1"/>
        <v>4533.3999999999996</v>
      </c>
      <c r="K16" s="138">
        <f t="shared" si="1"/>
        <v>4409.4234799999995</v>
      </c>
      <c r="L16" s="138">
        <f t="shared" si="1"/>
        <v>4428.352090662499</v>
      </c>
      <c r="M16" s="138">
        <f t="shared" si="1"/>
        <v>4460.6427629563786</v>
      </c>
      <c r="N16" s="138">
        <f t="shared" si="1"/>
        <v>4506.5465670758213</v>
      </c>
      <c r="O16" s="138">
        <f t="shared" si="1"/>
        <v>4566.4381305731149</v>
      </c>
    </row>
    <row r="17" spans="2:26" outlineLevel="1" x14ac:dyDescent="0.15">
      <c r="B17" s="96" t="s">
        <v>82</v>
      </c>
      <c r="F17" s="175">
        <f>INDEX('Income Statement'!$A$10:$F$111,MATCH(TAP_DCF!$B17,'Income Statement'!$A$10:$A$111,0),MATCH(TAP_DCF!F$13,'Income Statement'!$A$11:$F$11))</f>
        <v>2186.6999999999998</v>
      </c>
      <c r="G17" s="175">
        <f>INDEX('Income Statement'!$A$10:$F$111,MATCH(TAP_DCF!$B17,'Income Statement'!$A$10:$A$111,0),MATCH(TAP_DCF!G$13,'Income Statement'!$A$11:$F$11))</f>
        <v>2290.1</v>
      </c>
      <c r="H17" s="175">
        <f>INDEX('Income Statement'!$A$10:$F$111,MATCH(TAP_DCF!$B17,'Income Statement'!$A$10:$A$111,0),MATCH(TAP_DCF!H$13,'Income Statement'!$A$11:$F$11))</f>
        <v>2318.1</v>
      </c>
      <c r="I17" s="175">
        <f>INDEX('Income Statement'!$A$10:$F$111,MATCH(TAP_DCF!$B17,'Income Statement'!$A$10:$A$111,0),MATCH(TAP_DCF!I$13,'Income Statement'!$A$11:$F$11))</f>
        <v>2562.4</v>
      </c>
      <c r="J17" s="176">
        <f>INDEX('Income Statement'!$A$10:$F$111,MATCH(TAP_DCF!$B17,'Income Statement'!$A$10:$A$111,0),MATCH(TAP_DCF!J$13,'Income Statement'!$A$11:$F$11))</f>
        <v>2516.1</v>
      </c>
      <c r="K17" s="122">
        <f>K14*K34</f>
        <v>2518.012882</v>
      </c>
      <c r="L17" s="122">
        <f>L14*L34</f>
        <v>2523.4347323184998</v>
      </c>
      <c r="M17" s="122">
        <f>M14*M34</f>
        <v>2536.4439240340193</v>
      </c>
      <c r="N17" s="122">
        <f>N14*N34</f>
        <v>2557.134892458007</v>
      </c>
      <c r="O17" s="122">
        <f>O14*O34</f>
        <v>2585.6714609478945</v>
      </c>
    </row>
    <row r="18" spans="2:26" outlineLevel="1" x14ac:dyDescent="0.15">
      <c r="B18" s="96" t="s">
        <v>79</v>
      </c>
      <c r="F18" s="132">
        <f>INDEX('Income Statement'!$A$10:$F$111,MATCH(TAP_DCF!$B18,'Income Statement'!$A$10:$A$111,0),MATCH(TAP_DCF!F$13,'Income Statement'!$A$11:$F$11))</f>
        <v>220</v>
      </c>
      <c r="G18" s="132">
        <f>INDEX('Income Statement'!$A$10:$F$111,MATCH(TAP_DCF!$B18,'Income Statement'!$A$10:$A$111,0),MATCH(TAP_DCF!G$13,'Income Statement'!$A$11:$F$11))</f>
        <v>218</v>
      </c>
      <c r="H18" s="132">
        <f>INDEX('Income Statement'!$A$10:$F$111,MATCH(TAP_DCF!$B18,'Income Statement'!$A$10:$A$111,0),MATCH(TAP_DCF!H$13,'Income Statement'!$A$11:$F$11))</f>
        <v>208.1</v>
      </c>
      <c r="I18" s="132">
        <f>INDEX('Income Statement'!$A$10:$F$111,MATCH(TAP_DCF!$B18,'Income Statement'!$A$10:$A$111,0),MATCH(TAP_DCF!I$13,'Income Statement'!$A$11:$F$11))</f>
        <v>207.3</v>
      </c>
      <c r="J18" s="133">
        <f>INDEX('Income Statement'!$A$10:$F$111,MATCH(TAP_DCF!$B18,'Income Statement'!$A$10:$A$111,0),MATCH(TAP_DCF!J$13,'Income Statement'!$A$11:$F$11))</f>
        <v>206.4</v>
      </c>
      <c r="K18" s="122">
        <f>K35*K14</f>
        <v>208.86742799999996</v>
      </c>
      <c r="L18" s="122">
        <f t="shared" ref="L18:O18" si="2">L35*L14</f>
        <v>211.98013286449995</v>
      </c>
      <c r="M18" s="122">
        <f t="shared" si="2"/>
        <v>215.74350618220396</v>
      </c>
      <c r="N18" s="122">
        <f t="shared" si="2"/>
        <v>220.18957168122907</v>
      </c>
      <c r="O18" s="122">
        <f t="shared" si="2"/>
        <v>225.35668696334861</v>
      </c>
    </row>
    <row r="19" spans="2:26" outlineLevel="1" x14ac:dyDescent="0.15">
      <c r="B19" s="86" t="s">
        <v>34</v>
      </c>
      <c r="C19" s="86"/>
      <c r="D19" s="86"/>
      <c r="E19" s="86"/>
      <c r="F19" s="84">
        <f>F16-F17-F18</f>
        <v>1389.1999999999998</v>
      </c>
      <c r="G19" s="84">
        <f t="shared" ref="G19:O19" si="3">G16-G17-G18</f>
        <v>1545.3000000000006</v>
      </c>
      <c r="H19" s="84">
        <f t="shared" si="3"/>
        <v>1129</v>
      </c>
      <c r="I19" s="84">
        <f t="shared" si="3"/>
        <v>1599.1000000000001</v>
      </c>
      <c r="J19" s="109">
        <f t="shared" si="3"/>
        <v>1810.8999999999996</v>
      </c>
      <c r="K19" s="131">
        <f t="shared" si="3"/>
        <v>1682.5431699999995</v>
      </c>
      <c r="L19" s="131">
        <f t="shared" si="3"/>
        <v>1692.9372254794994</v>
      </c>
      <c r="M19" s="131">
        <f t="shared" si="3"/>
        <v>1708.4553327401554</v>
      </c>
      <c r="N19" s="131">
        <f t="shared" si="3"/>
        <v>1729.2221029365851</v>
      </c>
      <c r="O19" s="131">
        <f t="shared" si="3"/>
        <v>1755.4099826618717</v>
      </c>
      <c r="U19" s="33" t="s">
        <v>273</v>
      </c>
      <c r="V19" s="33" t="s">
        <v>471</v>
      </c>
      <c r="W19" s="33" t="s">
        <v>472</v>
      </c>
      <c r="X19" s="33" t="s">
        <v>473</v>
      </c>
      <c r="Y19" s="33" t="s">
        <v>470</v>
      </c>
      <c r="Z19" s="33" t="s">
        <v>474</v>
      </c>
    </row>
    <row r="20" spans="2:26" outlineLevel="1" x14ac:dyDescent="0.15">
      <c r="B20" s="33" t="s">
        <v>265</v>
      </c>
      <c r="C20" s="85">
        <v>0.25</v>
      </c>
      <c r="F20" s="114">
        <f>F19*$C$20</f>
        <v>347.29999999999995</v>
      </c>
      <c r="G20" s="114">
        <f t="shared" ref="G20:I20" si="4">G19*$C$20</f>
        <v>386.32500000000016</v>
      </c>
      <c r="H20" s="114">
        <f t="shared" si="4"/>
        <v>282.25</v>
      </c>
      <c r="I20" s="114">
        <f t="shared" si="4"/>
        <v>399.77500000000003</v>
      </c>
      <c r="J20" s="116">
        <f>J19*$C$20</f>
        <v>452.72499999999991</v>
      </c>
      <c r="K20" s="117">
        <f t="shared" ref="K20" si="5">K19*$C$20</f>
        <v>420.63579249999987</v>
      </c>
      <c r="L20" s="115">
        <f t="shared" ref="L20" si="6">L19*$C$20</f>
        <v>423.23430636987484</v>
      </c>
      <c r="M20" s="115">
        <f t="shared" ref="M20" si="7">M19*$C$20</f>
        <v>427.11383318503886</v>
      </c>
      <c r="N20" s="115">
        <f t="shared" ref="N20" si="8">N19*$C$20</f>
        <v>432.30552573414627</v>
      </c>
      <c r="O20" s="115">
        <f t="shared" ref="O20" si="9">O19*$C$20</f>
        <v>438.85249566546793</v>
      </c>
      <c r="T20" s="33">
        <v>2024</v>
      </c>
      <c r="U20" s="103">
        <v>-6.0000000000000001E-3</v>
      </c>
      <c r="V20" s="103">
        <v>0.61</v>
      </c>
      <c r="W20" s="103">
        <v>0.216</v>
      </c>
      <c r="X20" s="103">
        <v>1.7999999999999999E-2</v>
      </c>
      <c r="Y20" s="103">
        <v>0.98799999999999999</v>
      </c>
      <c r="Z20" s="103">
        <v>5.8000000000000003E-2</v>
      </c>
    </row>
    <row r="21" spans="2:26" outlineLevel="1" x14ac:dyDescent="0.15">
      <c r="B21" s="70" t="s">
        <v>264</v>
      </c>
      <c r="C21" s="70"/>
      <c r="D21" s="70"/>
      <c r="E21" s="70"/>
      <c r="F21" s="110">
        <f>F19-F20</f>
        <v>1041.8999999999999</v>
      </c>
      <c r="G21" s="110">
        <f t="shared" ref="G21:O21" si="10">G19-G20</f>
        <v>1158.9750000000004</v>
      </c>
      <c r="H21" s="110">
        <f t="shared" si="10"/>
        <v>846.75</v>
      </c>
      <c r="I21" s="110">
        <f t="shared" si="10"/>
        <v>1199.325</v>
      </c>
      <c r="J21" s="111">
        <f t="shared" si="10"/>
        <v>1358.1749999999997</v>
      </c>
      <c r="K21" s="123">
        <f t="shared" si="10"/>
        <v>1261.9073774999997</v>
      </c>
      <c r="L21" s="123">
        <f t="shared" si="10"/>
        <v>1269.7029191096244</v>
      </c>
      <c r="M21" s="123">
        <f t="shared" si="10"/>
        <v>1281.3414995551166</v>
      </c>
      <c r="N21" s="123">
        <f t="shared" si="10"/>
        <v>1296.9165772024389</v>
      </c>
      <c r="O21" s="123">
        <f t="shared" si="10"/>
        <v>1316.5574869964039</v>
      </c>
      <c r="T21" s="33">
        <v>2029</v>
      </c>
      <c r="U21" s="103">
        <v>0.01</v>
      </c>
      <c r="V21" s="103">
        <v>0.61499999999999999</v>
      </c>
      <c r="W21" s="103">
        <v>0.218</v>
      </c>
      <c r="X21" s="103">
        <v>1.9E-2</v>
      </c>
      <c r="Y21" s="103">
        <v>1</v>
      </c>
      <c r="Z21" s="103">
        <v>0.06</v>
      </c>
    </row>
    <row r="22" spans="2:26" outlineLevel="1" x14ac:dyDescent="0.15">
      <c r="F22" s="84"/>
      <c r="G22" s="84"/>
      <c r="H22" s="84"/>
      <c r="I22" s="84"/>
      <c r="J22" s="109"/>
      <c r="K22" s="124"/>
      <c r="L22" s="124"/>
      <c r="M22" s="124"/>
      <c r="N22" s="124"/>
      <c r="O22" s="124"/>
    </row>
    <row r="23" spans="2:26" outlineLevel="1" x14ac:dyDescent="0.15">
      <c r="B23" s="98" t="s">
        <v>316</v>
      </c>
      <c r="F23" s="119">
        <f>INDEX('Income Statement'!$A$10:$F$113,MATCH(TAP_DCF!$B23,'Income Statement'!$A$10:$A$113,0),MATCH(TAP_DCF!F$13,'Income Statement'!$A$11:$F$11))</f>
        <v>809.7</v>
      </c>
      <c r="G23" s="119">
        <f>INDEX('Income Statement'!$A$10:$F$113,MATCH(TAP_DCF!$B23,'Income Statement'!$A$10:$A$113,0),MATCH(TAP_DCF!G$13,'Income Statement'!$A$11:$F$11))</f>
        <v>770.7</v>
      </c>
      <c r="H23" s="119">
        <f>INDEX('Income Statement'!$A$10:$F$113,MATCH(TAP_DCF!$B23,'Income Statement'!$A$10:$A$113,0),MATCH(TAP_DCF!H$13,'Income Statement'!$A$11:$F$11))</f>
        <v>684.8</v>
      </c>
      <c r="I23" s="119">
        <f>INDEX('Income Statement'!$A$10:$F$113,MATCH(TAP_DCF!$B23,'Income Statement'!$A$10:$A$113,0),MATCH(TAP_DCF!I$13,'Income Statement'!$A$11:$F$11))</f>
        <v>682.8</v>
      </c>
      <c r="J23" s="120">
        <f>INDEX('Income Statement'!$A$10:$F$113,MATCH(TAP_DCF!$B23,'Income Statement'!$A$10:$A$113,0),MATCH(TAP_DCF!J$13,'Income Statement'!$A$11:$F$11))</f>
        <v>665.8</v>
      </c>
      <c r="K23" s="118">
        <f>-K24*K36</f>
        <v>606.29572849999988</v>
      </c>
      <c r="L23" s="118">
        <f t="shared" ref="L23:O23" si="11">-L24*L36</f>
        <v>628.86229484203113</v>
      </c>
      <c r="M23" s="118">
        <f t="shared" si="11"/>
        <v>653.7902873156653</v>
      </c>
      <c r="N23" s="118">
        <f t="shared" si="11"/>
        <v>681.30323304366959</v>
      </c>
      <c r="O23" s="118">
        <f t="shared" si="11"/>
        <v>711.65269567373241</v>
      </c>
    </row>
    <row r="24" spans="2:26" outlineLevel="1" x14ac:dyDescent="0.15">
      <c r="B24" s="33" t="s">
        <v>305</v>
      </c>
      <c r="F24" s="119">
        <f>INDEX('Income Statement'!$A$10:$F$113,MATCH(TAP_DCF!$B24,'Income Statement'!$A$10:$A$113,0),MATCH(TAP_DCF!F$13,'Income Statement'!$A$11:$F$11))</f>
        <v>-574.79999999999995</v>
      </c>
      <c r="G24" s="119">
        <f>INDEX('Income Statement'!$A$10:$F$113,MATCH(TAP_DCF!$B24,'Income Statement'!$A$10:$A$113,0),MATCH(TAP_DCF!G$13,'Income Statement'!$A$11:$F$11))</f>
        <v>-522.6</v>
      </c>
      <c r="H24" s="119">
        <f>INDEX('Income Statement'!$A$10:$F$113,MATCH(TAP_DCF!$B24,'Income Statement'!$A$10:$A$113,0),MATCH(TAP_DCF!H$13,'Income Statement'!$A$11:$F$11))</f>
        <v>-661.4</v>
      </c>
      <c r="I24" s="119">
        <f>INDEX('Income Statement'!$A$10:$F$113,MATCH(TAP_DCF!$B24,'Income Statement'!$A$10:$A$113,0),MATCH(TAP_DCF!I$13,'Income Statement'!$A$11:$F$11))</f>
        <v>-671.5</v>
      </c>
      <c r="J24" s="120">
        <f>INDEX('Income Statement'!$A$10:$F$113,MATCH(TAP_DCF!$B24,'Income Statement'!$A$10:$A$113,0),MATCH(TAP_DCF!J$13,'Income Statement'!$A$11:$F$11))</f>
        <v>-674.1</v>
      </c>
      <c r="K24" s="125">
        <f>-K37*K14</f>
        <v>-638.20602999999994</v>
      </c>
      <c r="L24" s="125">
        <f t="shared" ref="L24:O24" si="12">-L37*L14</f>
        <v>-653.36342321249992</v>
      </c>
      <c r="M24" s="125">
        <f t="shared" si="12"/>
        <v>-670.5541408365799</v>
      </c>
      <c r="N24" s="125">
        <f t="shared" si="12"/>
        <v>-689.92732460118452</v>
      </c>
      <c r="O24" s="125">
        <f t="shared" si="12"/>
        <v>-711.65269567373252</v>
      </c>
    </row>
    <row r="25" spans="2:26" outlineLevel="1" x14ac:dyDescent="0.15">
      <c r="B25" s="33" t="s">
        <v>263</v>
      </c>
      <c r="F25" s="106"/>
      <c r="G25" s="79">
        <f>-G73</f>
        <v>-300.19999999999936</v>
      </c>
      <c r="H25" s="79">
        <f t="shared" ref="H25:O25" si="13">-H73</f>
        <v>56.699999999999818</v>
      </c>
      <c r="I25" s="79">
        <f t="shared" si="13"/>
        <v>259.30000000000018</v>
      </c>
      <c r="J25" s="130">
        <f t="shared" si="13"/>
        <v>-68.7000000000005</v>
      </c>
      <c r="K25" s="79">
        <f>-K73</f>
        <v>-4.7441299999998137</v>
      </c>
      <c r="L25" s="79">
        <f t="shared" si="13"/>
        <v>9.8138681794998774</v>
      </c>
      <c r="M25" s="79">
        <f t="shared" si="13"/>
        <v>13.19503731145619</v>
      </c>
      <c r="N25" s="79">
        <f t="shared" si="13"/>
        <v>16.685136295685652</v>
      </c>
      <c r="O25" s="79">
        <f t="shared" si="13"/>
        <v>20.316157813788095</v>
      </c>
    </row>
    <row r="26" spans="2:26" outlineLevel="1" x14ac:dyDescent="0.15">
      <c r="B26" s="102" t="s">
        <v>262</v>
      </c>
      <c r="C26" s="102"/>
      <c r="D26" s="102"/>
      <c r="E26" s="102"/>
      <c r="F26" s="168">
        <f>SUM(F21:F25)</f>
        <v>1276.8</v>
      </c>
      <c r="G26" s="168">
        <f>SUM(G21:G25)</f>
        <v>1106.8750000000009</v>
      </c>
      <c r="H26" s="168">
        <f t="shared" ref="H26:O26" si="14">SUM(H21:H25)</f>
        <v>926.8499999999998</v>
      </c>
      <c r="I26" s="168">
        <f t="shared" si="14"/>
        <v>1469.9250000000002</v>
      </c>
      <c r="J26" s="169">
        <f t="shared" si="14"/>
        <v>1281.174999999999</v>
      </c>
      <c r="K26" s="170">
        <f>SUM(K21:K25)</f>
        <v>1225.2529459999998</v>
      </c>
      <c r="L26" s="170">
        <f t="shared" si="14"/>
        <v>1255.0156589186554</v>
      </c>
      <c r="M26" s="170">
        <f t="shared" si="14"/>
        <v>1277.7726833456584</v>
      </c>
      <c r="N26" s="170">
        <f t="shared" si="14"/>
        <v>1304.9776219406097</v>
      </c>
      <c r="O26" s="170">
        <f t="shared" si="14"/>
        <v>1336.873644810192</v>
      </c>
    </row>
    <row r="27" spans="2:26" outlineLevel="1" x14ac:dyDescent="0.15">
      <c r="C27" s="62"/>
      <c r="D27" s="62"/>
      <c r="E27" s="62"/>
      <c r="F27" s="112"/>
      <c r="G27" s="112"/>
      <c r="H27" s="112"/>
      <c r="I27" s="112"/>
      <c r="J27" s="113"/>
      <c r="K27" s="124"/>
      <c r="L27" s="124"/>
      <c r="M27" s="124"/>
      <c r="N27" s="124"/>
      <c r="O27" s="124"/>
    </row>
    <row r="28" spans="2:26" outlineLevel="1" x14ac:dyDescent="0.15">
      <c r="F28" s="104"/>
      <c r="G28" s="104"/>
      <c r="H28" s="104"/>
      <c r="I28" s="104"/>
      <c r="J28" s="105"/>
    </row>
    <row r="29" spans="2:26" outlineLevel="1" x14ac:dyDescent="0.15">
      <c r="F29" s="78" t="s">
        <v>99</v>
      </c>
      <c r="G29" s="77"/>
      <c r="H29" s="77"/>
      <c r="I29" s="77"/>
      <c r="J29" s="76"/>
      <c r="K29" s="78" t="s">
        <v>232</v>
      </c>
      <c r="L29" s="77"/>
      <c r="M29" s="77"/>
      <c r="N29" s="77"/>
      <c r="O29" s="76"/>
    </row>
    <row r="30" spans="2:26" outlineLevel="1" x14ac:dyDescent="0.15">
      <c r="F30" s="83">
        <f>F13</f>
        <v>2020</v>
      </c>
      <c r="G30" s="73">
        <f t="shared" ref="G30:O30" si="15">F30+1</f>
        <v>2021</v>
      </c>
      <c r="H30" s="73">
        <f t="shared" si="15"/>
        <v>2022</v>
      </c>
      <c r="I30" s="73">
        <f t="shared" si="15"/>
        <v>2023</v>
      </c>
      <c r="J30" s="74">
        <f t="shared" si="15"/>
        <v>2024</v>
      </c>
      <c r="K30" s="73">
        <f t="shared" si="15"/>
        <v>2025</v>
      </c>
      <c r="L30" s="73">
        <f t="shared" si="15"/>
        <v>2026</v>
      </c>
      <c r="M30" s="73">
        <f t="shared" si="15"/>
        <v>2027</v>
      </c>
      <c r="N30" s="73">
        <f t="shared" si="15"/>
        <v>2028</v>
      </c>
      <c r="O30" s="73">
        <f t="shared" si="15"/>
        <v>2029</v>
      </c>
    </row>
    <row r="31" spans="2:26" outlineLevel="1" x14ac:dyDescent="0.15">
      <c r="B31" s="62" t="s">
        <v>261</v>
      </c>
      <c r="C31" s="62"/>
      <c r="E31" s="62"/>
      <c r="F31" s="124"/>
      <c r="G31" s="124"/>
      <c r="H31" s="124"/>
      <c r="I31" s="124"/>
      <c r="J31" s="126"/>
      <c r="K31" s="124"/>
      <c r="L31" s="124"/>
      <c r="M31" s="124"/>
      <c r="N31" s="124"/>
      <c r="O31" s="124"/>
      <c r="R31" s="124"/>
      <c r="S31" s="124"/>
      <c r="T31" s="124"/>
    </row>
    <row r="32" spans="2:26" outlineLevel="1" x14ac:dyDescent="0.15">
      <c r="B32" s="97" t="s">
        <v>273</v>
      </c>
      <c r="F32" s="99"/>
      <c r="G32" s="99">
        <f>G14/F14-1</f>
        <v>6.4812512948000833E-2</v>
      </c>
      <c r="H32" s="99">
        <f>H14/G14-1</f>
        <v>4.0983686294347121E-2</v>
      </c>
      <c r="I32" s="99">
        <f>I14/H14-1</f>
        <v>9.3552004485562223E-2</v>
      </c>
      <c r="J32" s="100">
        <f>J14/I14-1</f>
        <v>-6.4176515326309636E-3</v>
      </c>
      <c r="K32" s="103">
        <v>-2E-3</v>
      </c>
      <c r="L32" s="127">
        <f>K32+$S$32</f>
        <v>1E-3</v>
      </c>
      <c r="M32" s="127">
        <f t="shared" ref="M32:O32" si="16">L32+$S$32</f>
        <v>4.0000000000000001E-3</v>
      </c>
      <c r="N32" s="127">
        <f t="shared" si="16"/>
        <v>7.0000000000000001E-3</v>
      </c>
      <c r="O32" s="127">
        <f t="shared" si="16"/>
        <v>0.01</v>
      </c>
      <c r="Q32" s="72" t="s">
        <v>260</v>
      </c>
      <c r="R32" s="183">
        <v>0.01</v>
      </c>
      <c r="S32" s="127">
        <f>(R32-K32)/($O$30-$K$30)</f>
        <v>3.0000000000000001E-3</v>
      </c>
      <c r="T32" s="124"/>
    </row>
    <row r="33" spans="1:20" outlineLevel="1" x14ac:dyDescent="0.15">
      <c r="B33" s="33" t="s">
        <v>274</v>
      </c>
      <c r="F33" s="127">
        <f>F15/F14</f>
        <v>0.60680546923555012</v>
      </c>
      <c r="G33" s="127">
        <f>G15/G14</f>
        <v>0.60568888197126369</v>
      </c>
      <c r="H33" s="127">
        <f>H15/H14</f>
        <v>0.65842444631342867</v>
      </c>
      <c r="I33" s="127">
        <f>I15/I14</f>
        <v>0.6266652993907077</v>
      </c>
      <c r="J33" s="128">
        <f>J15/J14</f>
        <v>0.61009718758063136</v>
      </c>
      <c r="K33" s="103">
        <v>0.62</v>
      </c>
      <c r="L33" s="127">
        <f t="shared" ref="L33:O33" si="17">K33+$S$33</f>
        <v>0.61875000000000002</v>
      </c>
      <c r="M33" s="127">
        <f t="shared" si="17"/>
        <v>0.61750000000000005</v>
      </c>
      <c r="N33" s="127">
        <f>M33+$S$33</f>
        <v>0.61625000000000008</v>
      </c>
      <c r="O33" s="127">
        <f t="shared" si="17"/>
        <v>0.6150000000000001</v>
      </c>
      <c r="Q33" s="72" t="s">
        <v>260</v>
      </c>
      <c r="R33" s="183">
        <v>0.61499999999999999</v>
      </c>
      <c r="S33" s="127">
        <f>(R33-K33)/($O$30-$K$30)</f>
        <v>-1.2500000000000011E-3</v>
      </c>
      <c r="T33" s="124"/>
    </row>
    <row r="34" spans="1:20" outlineLevel="1" x14ac:dyDescent="0.15">
      <c r="B34" s="33" t="s">
        <v>275</v>
      </c>
      <c r="F34" s="127">
        <f>F17/F14</f>
        <v>0.22650714729645741</v>
      </c>
      <c r="G34" s="127">
        <f>G17/G14</f>
        <v>0.22277887486988918</v>
      </c>
      <c r="H34" s="127">
        <f>H17/H14</f>
        <v>0.21662461452200729</v>
      </c>
      <c r="I34" s="127">
        <f>I17/I14</f>
        <v>0.21896924483639688</v>
      </c>
      <c r="J34" s="128">
        <f>J17/J14</f>
        <v>0.21640147931538659</v>
      </c>
      <c r="K34" s="103">
        <v>0.217</v>
      </c>
      <c r="L34" s="127">
        <f>K34+$S$34</f>
        <v>0.21725</v>
      </c>
      <c r="M34" s="127">
        <f t="shared" ref="M34:O34" si="18">L34+$S$34</f>
        <v>0.2175</v>
      </c>
      <c r="N34" s="127">
        <f t="shared" si="18"/>
        <v>0.21775</v>
      </c>
      <c r="O34" s="127">
        <f t="shared" si="18"/>
        <v>0.218</v>
      </c>
      <c r="Q34" s="72" t="s">
        <v>260</v>
      </c>
      <c r="R34" s="183">
        <v>0.218</v>
      </c>
      <c r="S34" s="127">
        <f t="shared" ref="S34:S37" si="19">(R34-K34)/($O$30-$K$30)</f>
        <v>2.5000000000000022E-4</v>
      </c>
      <c r="T34" s="124"/>
    </row>
    <row r="35" spans="1:20" outlineLevel="1" x14ac:dyDescent="0.15">
      <c r="B35" s="33" t="s">
        <v>341</v>
      </c>
      <c r="F35" s="127">
        <f>F18/F14</f>
        <v>2.2788481458462812E-2</v>
      </c>
      <c r="G35" s="127">
        <f t="shared" ref="G35:J35" si="20">G18/G14</f>
        <v>2.1206844557720556E-2</v>
      </c>
      <c r="H35" s="127">
        <f t="shared" si="20"/>
        <v>1.9446780674703297E-2</v>
      </c>
      <c r="I35" s="127">
        <f t="shared" si="20"/>
        <v>1.7714769143999796E-2</v>
      </c>
      <c r="J35" s="128">
        <f t="shared" si="20"/>
        <v>1.7751784639201858E-2</v>
      </c>
      <c r="K35" s="103">
        <v>1.7999999999999999E-2</v>
      </c>
      <c r="L35" s="127">
        <f>K35+$S$35</f>
        <v>1.8249999999999999E-2</v>
      </c>
      <c r="M35" s="127">
        <f t="shared" ref="M35:O35" si="21">L35+$S$35</f>
        <v>1.8499999999999999E-2</v>
      </c>
      <c r="N35" s="127">
        <f t="shared" si="21"/>
        <v>1.8749999999999999E-2</v>
      </c>
      <c r="O35" s="127">
        <f t="shared" si="21"/>
        <v>1.9E-2</v>
      </c>
      <c r="Q35" s="72" t="s">
        <v>260</v>
      </c>
      <c r="R35" s="183">
        <v>1.9E-2</v>
      </c>
      <c r="S35" s="127">
        <f t="shared" ref="S35" si="22">(R35-K35)/($O$30-$K$30)</f>
        <v>2.5000000000000022E-4</v>
      </c>
      <c r="T35" s="124"/>
    </row>
    <row r="36" spans="1:20" outlineLevel="1" x14ac:dyDescent="0.15">
      <c r="B36" s="98" t="s">
        <v>321</v>
      </c>
      <c r="F36" s="127">
        <f>-F23/F24</f>
        <v>1.4086638830897706</v>
      </c>
      <c r="G36" s="127">
        <f>-G23/G24</f>
        <v>1.4747416762342136</v>
      </c>
      <c r="H36" s="127">
        <f>-H23/H24</f>
        <v>1.0353794980344724</v>
      </c>
      <c r="I36" s="127">
        <f>-I23/I24</f>
        <v>1.0168279970215934</v>
      </c>
      <c r="J36" s="128">
        <f>-J23/J24</f>
        <v>0.98768728675270723</v>
      </c>
      <c r="K36" s="103">
        <v>0.95</v>
      </c>
      <c r="L36" s="127">
        <f t="shared" ref="L36:O36" si="23">K36+$S$36</f>
        <v>0.96249999999999991</v>
      </c>
      <c r="M36" s="127">
        <f t="shared" si="23"/>
        <v>0.97499999999999987</v>
      </c>
      <c r="N36" s="127">
        <f t="shared" si="23"/>
        <v>0.98749999999999982</v>
      </c>
      <c r="O36" s="127">
        <f t="shared" si="23"/>
        <v>0.99999999999999978</v>
      </c>
      <c r="Q36" s="72" t="s">
        <v>260</v>
      </c>
      <c r="R36" s="183">
        <v>1</v>
      </c>
      <c r="S36" s="127">
        <f t="shared" si="19"/>
        <v>1.2500000000000011E-2</v>
      </c>
      <c r="T36" s="124"/>
    </row>
    <row r="37" spans="1:20" outlineLevel="1" x14ac:dyDescent="0.15">
      <c r="B37" s="98" t="s">
        <v>276</v>
      </c>
      <c r="F37" s="127">
        <f>-F24/F14</f>
        <v>5.9540087010565561E-2</v>
      </c>
      <c r="G37" s="127">
        <f>-G24/G14</f>
        <v>5.0838059476443861E-2</v>
      </c>
      <c r="H37" s="127">
        <f>-H24/H14</f>
        <v>6.1807307728249695E-2</v>
      </c>
      <c r="I37" s="127">
        <f>-I24/I14</f>
        <v>5.7382862904948685E-2</v>
      </c>
      <c r="J37" s="128">
        <f>-J24/J14</f>
        <v>5.7977122215532813E-2</v>
      </c>
      <c r="K37" s="103">
        <v>5.5E-2</v>
      </c>
      <c r="L37" s="127">
        <f t="shared" ref="L37:O37" si="24">K37+$S$37</f>
        <v>5.6250000000000001E-2</v>
      </c>
      <c r="M37" s="127">
        <f t="shared" si="24"/>
        <v>5.7500000000000002E-2</v>
      </c>
      <c r="N37" s="127">
        <f t="shared" si="24"/>
        <v>5.8750000000000004E-2</v>
      </c>
      <c r="O37" s="127">
        <f t="shared" si="24"/>
        <v>6.0000000000000005E-2</v>
      </c>
      <c r="Q37" s="72" t="s">
        <v>260</v>
      </c>
      <c r="R37" s="183">
        <v>0.06</v>
      </c>
      <c r="S37" s="127">
        <f t="shared" si="19"/>
        <v>1.2499999999999994E-3</v>
      </c>
      <c r="T37" s="124"/>
    </row>
    <row r="38" spans="1:20" outlineLevel="1" x14ac:dyDescent="0.15">
      <c r="B38" s="98" t="s">
        <v>277</v>
      </c>
      <c r="F38" s="127">
        <f t="shared" ref="F38:O38" si="25">F16/F14</f>
        <v>0.39319453076444993</v>
      </c>
      <c r="G38" s="127">
        <f t="shared" si="25"/>
        <v>0.39431111802873625</v>
      </c>
      <c r="H38" s="127">
        <f t="shared" si="25"/>
        <v>0.34157555368657133</v>
      </c>
      <c r="I38" s="127">
        <f t="shared" si="25"/>
        <v>0.37333470060929236</v>
      </c>
      <c r="J38" s="127">
        <f t="shared" si="25"/>
        <v>0.38990281241936869</v>
      </c>
      <c r="K38" s="129">
        <f t="shared" si="25"/>
        <v>0.38</v>
      </c>
      <c r="L38" s="127">
        <f t="shared" si="25"/>
        <v>0.38124999999999998</v>
      </c>
      <c r="M38" s="127">
        <f t="shared" si="25"/>
        <v>0.38249999999999995</v>
      </c>
      <c r="N38" s="127">
        <f t="shared" si="25"/>
        <v>0.38374999999999992</v>
      </c>
      <c r="O38" s="127">
        <f t="shared" si="25"/>
        <v>0.38499999999999984</v>
      </c>
      <c r="Q38" s="72"/>
      <c r="R38" s="183"/>
      <c r="S38" s="127"/>
    </row>
    <row r="39" spans="1:20" outlineLevel="1" x14ac:dyDescent="0.15">
      <c r="B39" s="98"/>
      <c r="F39" s="124"/>
      <c r="G39" s="124"/>
      <c r="H39" s="124"/>
      <c r="I39" s="124"/>
      <c r="J39" s="126"/>
      <c r="K39" s="124"/>
      <c r="L39" s="124"/>
      <c r="M39" s="124"/>
      <c r="N39" s="124"/>
      <c r="O39" s="124"/>
    </row>
    <row r="40" spans="1:20" x14ac:dyDescent="0.15">
      <c r="A40" s="33" t="s">
        <v>187</v>
      </c>
      <c r="B40" s="45" t="s">
        <v>259</v>
      </c>
      <c r="C40" s="44"/>
      <c r="D40" s="45"/>
      <c r="E40" s="45"/>
      <c r="F40" s="44"/>
      <c r="G40" s="44"/>
      <c r="H40" s="44"/>
      <c r="I40" s="44"/>
      <c r="J40" s="44"/>
      <c r="K40" s="44"/>
      <c r="L40" s="44"/>
      <c r="M40" s="44"/>
      <c r="N40" s="44"/>
      <c r="O40" s="44"/>
    </row>
    <row r="41" spans="1:20" outlineLevel="1" x14ac:dyDescent="0.15"/>
    <row r="42" spans="1:20" outlineLevel="1" x14ac:dyDescent="0.15">
      <c r="F42" s="71" t="s">
        <v>258</v>
      </c>
      <c r="G42" s="70"/>
      <c r="H42" s="69"/>
      <c r="I42" s="124"/>
      <c r="K42" s="71" t="s">
        <v>257</v>
      </c>
      <c r="L42" s="70"/>
      <c r="M42" s="70"/>
      <c r="N42" s="69"/>
      <c r="P42" s="71" t="s">
        <v>256</v>
      </c>
      <c r="Q42" s="70"/>
      <c r="R42" s="70"/>
      <c r="S42" s="69"/>
    </row>
    <row r="43" spans="1:20" outlineLevel="1" x14ac:dyDescent="0.15">
      <c r="F43" s="68" t="s">
        <v>255</v>
      </c>
      <c r="H43" s="182">
        <f>O26</f>
        <v>1336.873644810192</v>
      </c>
      <c r="I43" s="124"/>
      <c r="K43" s="68" t="s">
        <v>254</v>
      </c>
      <c r="N43" s="161">
        <f>O19+O23</f>
        <v>2467.0626783356042</v>
      </c>
      <c r="P43" s="68" t="s">
        <v>253</v>
      </c>
      <c r="S43" s="126"/>
    </row>
    <row r="44" spans="1:20" outlineLevel="1" x14ac:dyDescent="0.15">
      <c r="F44" s="68" t="s">
        <v>252</v>
      </c>
      <c r="H44" s="148">
        <v>1.4999999999999999E-2</v>
      </c>
      <c r="I44" s="124"/>
      <c r="K44" s="68" t="s">
        <v>251</v>
      </c>
      <c r="N44" s="149">
        <v>9.6</v>
      </c>
      <c r="P44" s="68" t="s">
        <v>250</v>
      </c>
      <c r="S44" s="126"/>
    </row>
    <row r="45" spans="1:20" outlineLevel="1" x14ac:dyDescent="0.15">
      <c r="F45" s="68" t="s">
        <v>249</v>
      </c>
      <c r="H45" s="177">
        <f>(H43*(1+H44))/(H46-H44)</f>
        <v>26204.125722173598</v>
      </c>
      <c r="I45" s="124"/>
      <c r="K45" s="68" t="s">
        <v>249</v>
      </c>
      <c r="N45" s="161">
        <f>N43*N44</f>
        <v>23683.801712021799</v>
      </c>
      <c r="O45" s="34"/>
      <c r="P45" s="68" t="s">
        <v>248</v>
      </c>
      <c r="S45" s="126"/>
    </row>
    <row r="46" spans="1:20" outlineLevel="1" x14ac:dyDescent="0.15">
      <c r="F46" s="68" t="s">
        <v>247</v>
      </c>
      <c r="H46" s="147">
        <f>$F$119</f>
        <v>6.6782943032292458E-2</v>
      </c>
      <c r="I46" s="124"/>
      <c r="K46" s="68" t="s">
        <v>247</v>
      </c>
      <c r="N46" s="147">
        <f>$F$119</f>
        <v>6.6782943032292458E-2</v>
      </c>
      <c r="O46" s="34"/>
      <c r="P46" s="67" t="s">
        <v>238</v>
      </c>
      <c r="Q46" s="66"/>
      <c r="R46" s="66"/>
      <c r="S46" s="184"/>
    </row>
    <row r="47" spans="1:20" outlineLevel="1" x14ac:dyDescent="0.15">
      <c r="F47" s="68" t="s">
        <v>246</v>
      </c>
      <c r="H47" s="177">
        <f>H45/(1+H46)^(O13-J13)</f>
        <v>18966.594494299021</v>
      </c>
      <c r="I47" s="124"/>
      <c r="K47" s="68" t="s">
        <v>246</v>
      </c>
      <c r="N47" s="161">
        <f>-PV(N46,O13-J13,,N45)</f>
        <v>17142.379330564505</v>
      </c>
    </row>
    <row r="48" spans="1:20" outlineLevel="1" x14ac:dyDescent="0.15">
      <c r="F48" s="68"/>
      <c r="H48" s="82"/>
      <c r="I48" s="124"/>
      <c r="K48" s="68"/>
      <c r="N48" s="126"/>
      <c r="P48" s="71" t="s">
        <v>245</v>
      </c>
      <c r="Q48" s="70"/>
      <c r="R48" s="70"/>
      <c r="S48" s="69"/>
    </row>
    <row r="49" spans="1:19" outlineLevel="1" x14ac:dyDescent="0.15">
      <c r="F49" s="68" t="s">
        <v>244</v>
      </c>
      <c r="H49" s="178">
        <f>NPV(H46,K26:O26)</f>
        <v>5279.1144334486453</v>
      </c>
      <c r="I49" s="124"/>
      <c r="K49" s="68" t="s">
        <v>244</v>
      </c>
      <c r="N49" s="161">
        <f>NPV(N46,K26:O26)</f>
        <v>5279.1144334486453</v>
      </c>
      <c r="P49" s="68" t="s">
        <v>240</v>
      </c>
      <c r="S49" s="161">
        <f>N52</f>
        <v>16696.093764013152</v>
      </c>
    </row>
    <row r="50" spans="1:19" outlineLevel="1" x14ac:dyDescent="0.15">
      <c r="F50" s="68" t="s">
        <v>243</v>
      </c>
      <c r="H50" s="177">
        <f>H47+H49</f>
        <v>24245.708927747666</v>
      </c>
      <c r="I50" s="124"/>
      <c r="K50" s="68" t="s">
        <v>243</v>
      </c>
      <c r="N50" s="161">
        <f>N47+N49</f>
        <v>22421.49376401315</v>
      </c>
      <c r="P50" s="68" t="s">
        <v>239</v>
      </c>
      <c r="S50" s="181">
        <f>N93</f>
        <v>196.821011</v>
      </c>
    </row>
    <row r="51" spans="1:19" outlineLevel="1" x14ac:dyDescent="0.15">
      <c r="F51" s="68" t="s">
        <v>242</v>
      </c>
      <c r="H51" s="179">
        <f>'Balance Sheet'!F41+'Balance Sheet'!F42+'Balance Sheet'!F46+'Balance Sheet'!F47-'Balance Sheet'!F14+'Balance Sheet'!F60</f>
        <v>5725.4</v>
      </c>
      <c r="I51" s="124"/>
      <c r="K51" s="68" t="s">
        <v>242</v>
      </c>
      <c r="N51" s="180">
        <f>H51</f>
        <v>5725.4</v>
      </c>
      <c r="P51" s="68" t="s">
        <v>241</v>
      </c>
      <c r="S51" s="161">
        <f>N90</f>
        <v>124.71900000000001</v>
      </c>
    </row>
    <row r="52" spans="1:19" outlineLevel="1" x14ac:dyDescent="0.15">
      <c r="F52" s="68" t="s">
        <v>240</v>
      </c>
      <c r="H52" s="177">
        <f>H50-H51</f>
        <v>18520.308927747668</v>
      </c>
      <c r="I52" s="124"/>
      <c r="K52" s="68" t="s">
        <v>240</v>
      </c>
      <c r="N52" s="161">
        <f>N50-N51</f>
        <v>16696.093764013152</v>
      </c>
      <c r="P52" s="67" t="s">
        <v>238</v>
      </c>
      <c r="Q52" s="66"/>
      <c r="R52" s="66"/>
      <c r="S52" s="185">
        <f>(S49+S51)/S50</f>
        <v>85.462485323851695</v>
      </c>
    </row>
    <row r="53" spans="1:19" outlineLevel="1" x14ac:dyDescent="0.15">
      <c r="F53" s="68" t="s">
        <v>239</v>
      </c>
      <c r="H53" s="154">
        <f>I93</f>
        <v>194.721011</v>
      </c>
      <c r="I53" s="124"/>
      <c r="K53" s="68" t="s">
        <v>239</v>
      </c>
      <c r="N53" s="181">
        <f>I93</f>
        <v>194.721011</v>
      </c>
    </row>
    <row r="54" spans="1:19" outlineLevel="1" x14ac:dyDescent="0.15">
      <c r="F54" s="67" t="s">
        <v>238</v>
      </c>
      <c r="G54" s="66"/>
      <c r="H54" s="155">
        <f>H52/H53</f>
        <v>95.112021207345052</v>
      </c>
      <c r="I54" s="186"/>
      <c r="K54" s="67" t="s">
        <v>238</v>
      </c>
      <c r="L54" s="66"/>
      <c r="M54" s="66"/>
      <c r="N54" s="185">
        <f>N52/N53</f>
        <v>85.743668227016101</v>
      </c>
    </row>
    <row r="55" spans="1:19" outlineLevel="1" x14ac:dyDescent="0.15"/>
    <row r="56" spans="1:19" outlineLevel="1" x14ac:dyDescent="0.15">
      <c r="E56" s="61"/>
    </row>
    <row r="57" spans="1:19" outlineLevel="1" x14ac:dyDescent="0.15">
      <c r="G57" s="80"/>
    </row>
    <row r="58" spans="1:19" x14ac:dyDescent="0.15">
      <c r="A58" s="33" t="s">
        <v>187</v>
      </c>
      <c r="B58" s="45" t="s">
        <v>237</v>
      </c>
      <c r="C58" s="44"/>
      <c r="D58" s="45"/>
      <c r="E58" s="45"/>
      <c r="F58" s="44"/>
      <c r="G58" s="44"/>
      <c r="H58" s="44"/>
      <c r="I58" s="44"/>
      <c r="J58" s="44"/>
      <c r="K58" s="44"/>
      <c r="L58" s="44"/>
      <c r="M58" s="44"/>
      <c r="N58" s="44"/>
      <c r="O58" s="44"/>
    </row>
    <row r="59" spans="1:19" outlineLevel="1" x14ac:dyDescent="0.15"/>
    <row r="60" spans="1:19" outlineLevel="1" x14ac:dyDescent="0.15"/>
    <row r="61" spans="1:19" outlineLevel="1" x14ac:dyDescent="0.15">
      <c r="F61" s="78" t="s">
        <v>99</v>
      </c>
      <c r="G61" s="77"/>
      <c r="H61" s="77"/>
      <c r="I61" s="77"/>
      <c r="J61" s="76"/>
      <c r="K61" s="78" t="s">
        <v>232</v>
      </c>
      <c r="L61" s="77"/>
      <c r="M61" s="77"/>
      <c r="N61" s="77"/>
      <c r="O61" s="76"/>
    </row>
    <row r="62" spans="1:19" outlineLevel="1" x14ac:dyDescent="0.15">
      <c r="F62" s="75">
        <f>F13</f>
        <v>2020</v>
      </c>
      <c r="G62" s="73">
        <f t="shared" ref="G62:O62" si="26">F62+1</f>
        <v>2021</v>
      </c>
      <c r="H62" s="73">
        <f t="shared" si="26"/>
        <v>2022</v>
      </c>
      <c r="I62" s="73">
        <f t="shared" si="26"/>
        <v>2023</v>
      </c>
      <c r="J62" s="74">
        <f t="shared" si="26"/>
        <v>2024</v>
      </c>
      <c r="K62" s="73">
        <f t="shared" si="26"/>
        <v>2025</v>
      </c>
      <c r="L62" s="73">
        <f t="shared" si="26"/>
        <v>2026</v>
      </c>
      <c r="M62" s="73">
        <f t="shared" si="26"/>
        <v>2027</v>
      </c>
      <c r="N62" s="73">
        <f t="shared" si="26"/>
        <v>2028</v>
      </c>
      <c r="O62" s="73">
        <f t="shared" si="26"/>
        <v>2029</v>
      </c>
    </row>
    <row r="63" spans="1:19" outlineLevel="1" x14ac:dyDescent="0.15">
      <c r="B63" s="33" t="s">
        <v>401</v>
      </c>
      <c r="F63" s="162">
        <f>INDEX('Balance Sheet'!$A$10:$F$91,MATCH(TAP_DCF!$B63,'Balance Sheet'!$A$10:$A$91,0),MATCH(TAP_DCF!F$62,'Balance Sheet'!$A$11:$F$11,0))</f>
        <v>2418.8000000000002</v>
      </c>
      <c r="G63" s="162">
        <f>INDEX('Balance Sheet'!$A$10:$F$91,MATCH(TAP_DCF!$B63,'Balance Sheet'!$A$10:$A$91,0),MATCH(TAP_DCF!G$62,'Balance Sheet'!$A$11:$F$11,0))</f>
        <v>2778.7</v>
      </c>
      <c r="H63" s="162">
        <f>INDEX('Balance Sheet'!$A$10:$F$91,MATCH(TAP_DCF!$B63,'Balance Sheet'!$A$10:$A$91,0),MATCH(TAP_DCF!H$62,'Balance Sheet'!$A$11:$F$11,0))</f>
        <v>2638</v>
      </c>
      <c r="I63" s="162">
        <f>INDEX('Balance Sheet'!$A$10:$F$91,MATCH(TAP_DCF!$B63,'Balance Sheet'!$A$10:$A$91,0),MATCH(TAP_DCF!I$62,'Balance Sheet'!$A$11:$F$11,0))</f>
        <v>2848.5</v>
      </c>
      <c r="J63" s="167">
        <f>INDEX('Balance Sheet'!$A$10:$F$91,MATCH(TAP_DCF!$B63,'Balance Sheet'!$A$10:$A$91,0),MATCH(TAP_DCF!J$62,'Balance Sheet'!$A$11:$F$11,0))</f>
        <v>2848.4</v>
      </c>
    </row>
    <row r="64" spans="1:19" outlineLevel="1" x14ac:dyDescent="0.15">
      <c r="B64" s="33" t="s">
        <v>178</v>
      </c>
      <c r="F64" s="163">
        <f>INDEX('Balance Sheet'!$A$10:$F$91,MATCH(TAP_DCF!$B64,'Balance Sheet'!$A$10:$A$91,0),MATCH(TAP_DCF!F$62,'Balance Sheet'!$A$11:$F$11,0))</f>
        <v>770.1</v>
      </c>
      <c r="G64" s="163">
        <f>INDEX('Balance Sheet'!$A$10:$F$91,MATCH(TAP_DCF!$B64,'Balance Sheet'!$A$10:$A$91,0),MATCH(TAP_DCF!G$62,'Balance Sheet'!$A$11:$F$11,0))</f>
        <v>637.4</v>
      </c>
      <c r="H64" s="163">
        <f>INDEX('Balance Sheet'!$A$10:$F$91,MATCH(TAP_DCF!$B64,'Balance Sheet'!$A$10:$A$91,0),MATCH(TAP_DCF!H$62,'Balance Sheet'!$A$11:$F$11,0))</f>
        <v>600</v>
      </c>
      <c r="I64" s="163">
        <f>INDEX('Balance Sheet'!$A$10:$F$91,MATCH(TAP_DCF!$B64,'Balance Sheet'!$A$10:$A$91,0),MATCH(TAP_DCF!I$62,'Balance Sheet'!$A$11:$F$11,0))</f>
        <v>868.9</v>
      </c>
      <c r="J64" s="166">
        <f>INDEX('Balance Sheet'!$A$10:$F$91,MATCH(TAP_DCF!$B64,'Balance Sheet'!$A$10:$A$91,0),MATCH(TAP_DCF!J$62,'Balance Sheet'!$A$11:$F$11,0))</f>
        <v>969.3</v>
      </c>
    </row>
    <row r="65" spans="2:19" outlineLevel="1" x14ac:dyDescent="0.15">
      <c r="B65" s="101" t="s">
        <v>236</v>
      </c>
      <c r="C65" s="101"/>
      <c r="D65" s="101"/>
      <c r="E65" s="101"/>
      <c r="F65" s="187">
        <f>F63-F64</f>
        <v>1648.7000000000003</v>
      </c>
      <c r="G65" s="187">
        <f t="shared" ref="G65:J65" si="27">G63-G64</f>
        <v>2141.2999999999997</v>
      </c>
      <c r="H65" s="187">
        <f t="shared" si="27"/>
        <v>2038</v>
      </c>
      <c r="I65" s="187">
        <f t="shared" si="27"/>
        <v>1979.6</v>
      </c>
      <c r="J65" s="188">
        <f t="shared" si="27"/>
        <v>1879.1000000000001</v>
      </c>
    </row>
    <row r="66" spans="2:19" outlineLevel="1" x14ac:dyDescent="0.15">
      <c r="F66" s="123"/>
      <c r="G66" s="123"/>
      <c r="H66" s="123"/>
      <c r="I66" s="123"/>
      <c r="J66" s="189"/>
    </row>
    <row r="67" spans="2:19" outlineLevel="1" x14ac:dyDescent="0.15">
      <c r="B67" s="33" t="s">
        <v>322</v>
      </c>
      <c r="F67" s="164">
        <f>INDEX('Balance Sheet'!$A$10:$F$91,MATCH(TAP_DCF!$B67,'Balance Sheet'!$A$10:$A$91,0),MATCH(TAP_DCF!F$62,'Balance Sheet'!$A$11:$F$11,0))</f>
        <v>3909.6</v>
      </c>
      <c r="G67" s="164">
        <f>INDEX('Balance Sheet'!$A$10:$F$91,MATCH(TAP_DCF!$B67,'Balance Sheet'!$A$10:$A$91,0),MATCH(TAP_DCF!G$62,'Balance Sheet'!$A$11:$F$11,0))</f>
        <v>3622.2</v>
      </c>
      <c r="H67" s="164">
        <f>INDEX('Balance Sheet'!$A$10:$F$91,MATCH(TAP_DCF!$B67,'Balance Sheet'!$A$10:$A$91,0),MATCH(TAP_DCF!H$62,'Balance Sheet'!$A$11:$F$11,0))</f>
        <v>3375.4</v>
      </c>
      <c r="I67" s="164">
        <f>INDEX('Balance Sheet'!$A$10:$F$91,MATCH(TAP_DCF!$B67,'Balance Sheet'!$A$10:$A$91,0),MATCH(TAP_DCF!I$62,'Balance Sheet'!$A$11:$F$11,0))</f>
        <v>4092.6</v>
      </c>
      <c r="J67" s="165">
        <f>INDEX('Balance Sheet'!$A$10:$F$91,MATCH(TAP_DCF!$B67,'Balance Sheet'!$A$10:$A$91,0),MATCH(TAP_DCF!J$62,'Balance Sheet'!$A$11:$F$11,0))</f>
        <v>3045.2</v>
      </c>
    </row>
    <row r="68" spans="2:19" outlineLevel="1" x14ac:dyDescent="0.15">
      <c r="B68" s="33" t="s">
        <v>156</v>
      </c>
      <c r="F68" s="164">
        <f>INDEX('Balance Sheet'!$A$10:$F$91,MATCH(TAP_DCF!$B68,'Balance Sheet'!$A$10:$A$91,0),MATCH(TAP_DCF!F$62,'Balance Sheet'!$A$11:$F$11,0))</f>
        <v>1049.7</v>
      </c>
      <c r="G68" s="164">
        <f>INDEX('Balance Sheet'!$A$10:$F$91,MATCH(TAP_DCF!$B68,'Balance Sheet'!$A$10:$A$91,0),MATCH(TAP_DCF!G$62,'Balance Sheet'!$A$11:$F$11,0))</f>
        <v>571.1</v>
      </c>
      <c r="H68" s="164">
        <f>INDEX('Balance Sheet'!$A$10:$F$91,MATCH(TAP_DCF!$B68,'Balance Sheet'!$A$10:$A$91,0),MATCH(TAP_DCF!H$62,'Balance Sheet'!$A$11:$F$11,0))</f>
        <v>370.9</v>
      </c>
      <c r="I68" s="164">
        <f>INDEX('Balance Sheet'!$A$10:$F$91,MATCH(TAP_DCF!$B68,'Balance Sheet'!$A$10:$A$91,0),MATCH(TAP_DCF!I$62,'Balance Sheet'!$A$11:$F$11,0))</f>
        <v>885.1</v>
      </c>
      <c r="J68" s="165">
        <f>INDEX('Balance Sheet'!$A$10:$F$91,MATCH(TAP_DCF!$B68,'Balance Sheet'!$A$10:$A$91,0),MATCH(TAP_DCF!J$62,'Balance Sheet'!$A$11:$F$11,0))</f>
        <v>2.4</v>
      </c>
    </row>
    <row r="69" spans="2:19" outlineLevel="1" x14ac:dyDescent="0.15">
      <c r="B69" s="33" t="s">
        <v>155</v>
      </c>
      <c r="F69" s="163">
        <f>INDEX('Balance Sheet'!$A$10:$F$91,MATCH(TAP_DCF!$B69,'Balance Sheet'!$A$10:$A$91,0),MATCH(TAP_DCF!F$62,'Balance Sheet'!$A$11:$F$11,0))</f>
        <v>51.2</v>
      </c>
      <c r="G69" s="163">
        <f>INDEX('Balance Sheet'!$A$10:$F$91,MATCH(TAP_DCF!$B69,'Balance Sheet'!$A$10:$A$91,0),MATCH(TAP_DCF!G$62,'Balance Sheet'!$A$11:$F$11,0))</f>
        <v>50</v>
      </c>
      <c r="H69" s="163">
        <f>INDEX('Balance Sheet'!$A$10:$F$91,MATCH(TAP_DCF!$B69,'Balance Sheet'!$A$10:$A$91,0),MATCH(TAP_DCF!H$62,'Balance Sheet'!$A$11:$F$11,0))</f>
        <v>50</v>
      </c>
      <c r="I69" s="163">
        <f>INDEX('Balance Sheet'!$A$10:$F$91,MATCH(TAP_DCF!$B69,'Balance Sheet'!$A$10:$A$91,0),MATCH(TAP_DCF!I$62,'Balance Sheet'!$A$11:$F$11,0))</f>
        <v>52.1</v>
      </c>
      <c r="J69" s="166">
        <f>INDEX('Balance Sheet'!$A$10:$F$91,MATCH(TAP_DCF!$B69,'Balance Sheet'!$A$10:$A$91,0),MATCH(TAP_DCF!J$62,'Balance Sheet'!$A$11:$F$11,0))</f>
        <v>56.6</v>
      </c>
    </row>
    <row r="70" spans="2:19" outlineLevel="1" x14ac:dyDescent="0.15">
      <c r="B70" s="101" t="s">
        <v>235</v>
      </c>
      <c r="C70" s="101"/>
      <c r="D70" s="101"/>
      <c r="E70" s="101"/>
      <c r="F70" s="171">
        <f>F67-F68-F69</f>
        <v>2808.7</v>
      </c>
      <c r="G70" s="171">
        <f t="shared" ref="G70:J70" si="28">G67-G68-G69</f>
        <v>3001.1</v>
      </c>
      <c r="H70" s="171">
        <f t="shared" si="28"/>
        <v>2954.5</v>
      </c>
      <c r="I70" s="171">
        <f t="shared" si="28"/>
        <v>3155.4</v>
      </c>
      <c r="J70" s="172">
        <f t="shared" si="28"/>
        <v>2986.2</v>
      </c>
    </row>
    <row r="71" spans="2:19" outlineLevel="1" x14ac:dyDescent="0.15">
      <c r="F71" s="124"/>
      <c r="G71" s="124"/>
      <c r="H71" s="124"/>
      <c r="I71" s="124"/>
      <c r="J71" s="126"/>
    </row>
    <row r="72" spans="2:19" outlineLevel="1" x14ac:dyDescent="0.15">
      <c r="B72" s="62" t="s">
        <v>234</v>
      </c>
      <c r="F72" s="122">
        <f>F65-F70</f>
        <v>-1159.9999999999995</v>
      </c>
      <c r="G72" s="122">
        <f>G65-G70</f>
        <v>-859.80000000000018</v>
      </c>
      <c r="H72" s="122">
        <f>H65-H70</f>
        <v>-916.5</v>
      </c>
      <c r="I72" s="122">
        <f>I65-I70</f>
        <v>-1175.8000000000002</v>
      </c>
      <c r="J72" s="190">
        <f>J65-J70</f>
        <v>-1107.0999999999997</v>
      </c>
      <c r="K72" s="79">
        <f>K78*K14</f>
        <v>-1102.3558699999999</v>
      </c>
      <c r="L72" s="79">
        <f>L78*L14</f>
        <v>-1112.1697381794997</v>
      </c>
      <c r="M72" s="79">
        <f>M78*M14</f>
        <v>-1125.3647754909559</v>
      </c>
      <c r="N72" s="79">
        <f>N78*N14</f>
        <v>-1142.0499117866416</v>
      </c>
      <c r="O72" s="79">
        <f>O78*O14</f>
        <v>-1162.3660696004297</v>
      </c>
    </row>
    <row r="73" spans="2:19" outlineLevel="1" x14ac:dyDescent="0.15">
      <c r="B73" s="62" t="s">
        <v>233</v>
      </c>
      <c r="F73" s="186"/>
      <c r="G73" s="173">
        <f>G72-F72</f>
        <v>300.19999999999936</v>
      </c>
      <c r="H73" s="173">
        <f t="shared" ref="H73:I73" si="29">H72-G72</f>
        <v>-56.699999999999818</v>
      </c>
      <c r="I73" s="173">
        <f t="shared" si="29"/>
        <v>-259.30000000000018</v>
      </c>
      <c r="J73" s="161">
        <f>J72-I72</f>
        <v>68.7000000000005</v>
      </c>
      <c r="K73" s="173">
        <f>K72-J72</f>
        <v>4.7441299999998137</v>
      </c>
      <c r="L73" s="173">
        <f t="shared" ref="L73" si="30">L72-K72</f>
        <v>-9.8138681794998774</v>
      </c>
      <c r="M73" s="173">
        <f t="shared" ref="M73" si="31">M72-L72</f>
        <v>-13.19503731145619</v>
      </c>
      <c r="N73" s="173">
        <f t="shared" ref="N73" si="32">N72-M72</f>
        <v>-16.685136295685652</v>
      </c>
      <c r="O73" s="173">
        <f t="shared" ref="O73" si="33">O72-N72</f>
        <v>-20.316157813788095</v>
      </c>
    </row>
    <row r="74" spans="2:19" outlineLevel="1" x14ac:dyDescent="0.15">
      <c r="F74" s="124"/>
      <c r="G74" s="124"/>
      <c r="H74" s="124"/>
      <c r="I74" s="124"/>
      <c r="J74" s="126"/>
    </row>
    <row r="75" spans="2:19" outlineLevel="1" x14ac:dyDescent="0.15">
      <c r="J75" s="81"/>
    </row>
    <row r="76" spans="2:19" outlineLevel="1" x14ac:dyDescent="0.15">
      <c r="F76" s="78" t="s">
        <v>99</v>
      </c>
      <c r="G76" s="77"/>
      <c r="H76" s="77"/>
      <c r="I76" s="77"/>
      <c r="J76" s="76"/>
      <c r="K76" s="78" t="s">
        <v>232</v>
      </c>
      <c r="L76" s="77"/>
      <c r="M76" s="77"/>
      <c r="N76" s="77"/>
      <c r="O76" s="76"/>
    </row>
    <row r="77" spans="2:19" outlineLevel="1" x14ac:dyDescent="0.15">
      <c r="F77" s="75">
        <f>F62</f>
        <v>2020</v>
      </c>
      <c r="G77" s="73">
        <f t="shared" ref="G77:O77" si="34">F77+1</f>
        <v>2021</v>
      </c>
      <c r="H77" s="73">
        <f t="shared" si="34"/>
        <v>2022</v>
      </c>
      <c r="I77" s="73">
        <f t="shared" si="34"/>
        <v>2023</v>
      </c>
      <c r="J77" s="74">
        <f t="shared" si="34"/>
        <v>2024</v>
      </c>
      <c r="K77" s="73">
        <f t="shared" si="34"/>
        <v>2025</v>
      </c>
      <c r="L77" s="73">
        <f t="shared" si="34"/>
        <v>2026</v>
      </c>
      <c r="M77" s="73">
        <f t="shared" si="34"/>
        <v>2027</v>
      </c>
      <c r="N77" s="73">
        <f t="shared" si="34"/>
        <v>2028</v>
      </c>
      <c r="O77" s="73">
        <f t="shared" si="34"/>
        <v>2029</v>
      </c>
    </row>
    <row r="78" spans="2:19" outlineLevel="1" x14ac:dyDescent="0.15">
      <c r="B78" s="33" t="s">
        <v>231</v>
      </c>
      <c r="F78" s="72">
        <f>F72/F14</f>
        <v>-0.12015744769007661</v>
      </c>
      <c r="G78" s="72">
        <f>G72/G14</f>
        <v>-8.3640573168477686E-2</v>
      </c>
      <c r="H78" s="72">
        <f>H72/H14</f>
        <v>-8.56462012895991E-2</v>
      </c>
      <c r="I78" s="72">
        <f>I72/I14</f>
        <v>-0.10047769203818119</v>
      </c>
      <c r="J78" s="160">
        <f>J72/J14</f>
        <v>-9.5218027006106445E-2</v>
      </c>
      <c r="K78" s="103">
        <v>-9.5000000000000001E-2</v>
      </c>
      <c r="L78" s="72">
        <f>K78+$S$78</f>
        <v>-9.5750000000000002E-2</v>
      </c>
      <c r="M78" s="72">
        <f t="shared" ref="M78:O78" si="35">L78+$S$78</f>
        <v>-9.6500000000000002E-2</v>
      </c>
      <c r="N78" s="72">
        <f t="shared" si="35"/>
        <v>-9.7250000000000003E-2</v>
      </c>
      <c r="O78" s="72">
        <f t="shared" si="35"/>
        <v>-9.8000000000000004E-2</v>
      </c>
      <c r="Q78" s="33" t="s">
        <v>260</v>
      </c>
      <c r="R78" s="103">
        <v>-9.8000000000000004E-2</v>
      </c>
      <c r="S78" s="72">
        <f>(R78-K78)/(O77-K77)</f>
        <v>-7.5000000000000067E-4</v>
      </c>
    </row>
    <row r="79" spans="2:19" outlineLevel="1" x14ac:dyDescent="0.15"/>
    <row r="80" spans="2:19" outlineLevel="1" x14ac:dyDescent="0.15"/>
    <row r="81" spans="1:15" x14ac:dyDescent="0.15">
      <c r="A81" s="33" t="s">
        <v>187</v>
      </c>
      <c r="B81" s="45" t="s">
        <v>230</v>
      </c>
      <c r="C81" s="44"/>
      <c r="D81" s="45"/>
      <c r="E81" s="45"/>
      <c r="F81" s="44"/>
      <c r="G81" s="44"/>
      <c r="H81" s="44"/>
      <c r="I81" s="44"/>
      <c r="J81" s="44"/>
      <c r="K81" s="44"/>
      <c r="L81" s="44"/>
      <c r="M81" s="44"/>
      <c r="N81" s="44"/>
      <c r="O81" s="44"/>
    </row>
    <row r="82" spans="1:15" outlineLevel="1" x14ac:dyDescent="0.15"/>
    <row r="83" spans="1:15" outlineLevel="1" x14ac:dyDescent="0.15"/>
    <row r="84" spans="1:15" outlineLevel="1" x14ac:dyDescent="0.15">
      <c r="B84" s="95" t="s">
        <v>333</v>
      </c>
      <c r="C84" s="150">
        <v>2.563034</v>
      </c>
      <c r="E84" s="191"/>
      <c r="F84" s="71" t="s">
        <v>229</v>
      </c>
      <c r="G84" s="70"/>
      <c r="H84" s="70"/>
      <c r="I84" s="69"/>
      <c r="J84" s="191"/>
      <c r="K84" s="71" t="s">
        <v>228</v>
      </c>
      <c r="L84" s="70"/>
      <c r="M84" s="70"/>
      <c r="N84" s="69"/>
      <c r="O84" s="191"/>
    </row>
    <row r="85" spans="1:15" outlineLevel="1" x14ac:dyDescent="0.15">
      <c r="B85" s="68" t="s">
        <v>334</v>
      </c>
      <c r="C85" s="151">
        <v>190.15797699999999</v>
      </c>
      <c r="F85" s="68" t="s">
        <v>227</v>
      </c>
      <c r="I85" s="192">
        <v>192.721011</v>
      </c>
      <c r="K85" s="68" t="s">
        <v>227</v>
      </c>
      <c r="N85" s="181">
        <f>I85</f>
        <v>192.721011</v>
      </c>
    </row>
    <row r="86" spans="1:15" outlineLevel="1" x14ac:dyDescent="0.15">
      <c r="B86" s="67" t="s">
        <v>335</v>
      </c>
      <c r="C86" s="152" t="s">
        <v>336</v>
      </c>
      <c r="F86" s="68" t="s">
        <v>226</v>
      </c>
      <c r="I86" s="192">
        <v>2.1</v>
      </c>
      <c r="K86" s="68" t="s">
        <v>225</v>
      </c>
      <c r="N86" s="181">
        <f>I86</f>
        <v>2.1</v>
      </c>
    </row>
    <row r="87" spans="1:15" outlineLevel="1" x14ac:dyDescent="0.15">
      <c r="F87" s="68" t="s">
        <v>224</v>
      </c>
      <c r="I87" s="193">
        <v>59.39</v>
      </c>
      <c r="K87" s="68" t="s">
        <v>224</v>
      </c>
      <c r="N87" s="194">
        <f>I87</f>
        <v>59.39</v>
      </c>
    </row>
    <row r="88" spans="1:15" outlineLevel="1" x14ac:dyDescent="0.15">
      <c r="F88" s="68" t="s">
        <v>223</v>
      </c>
      <c r="I88" s="195">
        <f>C4</f>
        <v>44.26</v>
      </c>
      <c r="K88" s="68"/>
      <c r="N88" s="126"/>
    </row>
    <row r="89" spans="1:15" outlineLevel="1" x14ac:dyDescent="0.15">
      <c r="F89" s="68" t="s">
        <v>222</v>
      </c>
      <c r="I89" s="126">
        <f>IF(I87&lt;I88,I86,0)</f>
        <v>0</v>
      </c>
      <c r="K89" s="68"/>
      <c r="N89" s="126"/>
    </row>
    <row r="90" spans="1:15" outlineLevel="1" x14ac:dyDescent="0.15">
      <c r="F90" s="68" t="s">
        <v>221</v>
      </c>
      <c r="I90" s="196">
        <f>I89*I87</f>
        <v>0</v>
      </c>
      <c r="K90" s="68" t="s">
        <v>221</v>
      </c>
      <c r="N90" s="153">
        <f>N87*N86</f>
        <v>124.71900000000001</v>
      </c>
    </row>
    <row r="91" spans="1:15" outlineLevel="1" x14ac:dyDescent="0.15">
      <c r="F91" s="68" t="s">
        <v>220</v>
      </c>
      <c r="I91" s="126">
        <f>I90/I88</f>
        <v>0</v>
      </c>
      <c r="K91" s="68"/>
      <c r="N91" s="126"/>
    </row>
    <row r="92" spans="1:15" outlineLevel="1" x14ac:dyDescent="0.15">
      <c r="F92" s="68" t="s">
        <v>337</v>
      </c>
      <c r="I92" s="192">
        <v>2</v>
      </c>
      <c r="K92" s="68" t="s">
        <v>337</v>
      </c>
      <c r="N92" s="181">
        <f>I92</f>
        <v>2</v>
      </c>
    </row>
    <row r="93" spans="1:15" outlineLevel="1" x14ac:dyDescent="0.15">
      <c r="F93" s="68" t="s">
        <v>219</v>
      </c>
      <c r="I93" s="181">
        <f>I85+I92+I89-I91</f>
        <v>194.721011</v>
      </c>
      <c r="K93" s="68" t="s">
        <v>219</v>
      </c>
      <c r="N93" s="181">
        <f>N85+N86+N92</f>
        <v>196.821011</v>
      </c>
    </row>
    <row r="94" spans="1:15" outlineLevel="1" x14ac:dyDescent="0.15">
      <c r="F94" s="67"/>
      <c r="G94" s="66"/>
      <c r="H94" s="66"/>
      <c r="I94" s="65"/>
      <c r="K94" s="67"/>
      <c r="L94" s="66"/>
      <c r="M94" s="66"/>
      <c r="N94" s="65"/>
    </row>
    <row r="95" spans="1:15" outlineLevel="1" x14ac:dyDescent="0.15"/>
    <row r="96" spans="1:15" x14ac:dyDescent="0.15">
      <c r="A96" s="33" t="s">
        <v>187</v>
      </c>
      <c r="B96" s="45" t="s">
        <v>218</v>
      </c>
      <c r="C96" s="44"/>
      <c r="D96" s="45"/>
      <c r="E96" s="45"/>
      <c r="F96" s="44"/>
      <c r="G96" s="44"/>
      <c r="H96" s="44"/>
      <c r="I96" s="44"/>
      <c r="J96" s="44"/>
      <c r="K96" s="44"/>
      <c r="L96" s="44"/>
      <c r="M96" s="44"/>
      <c r="N96" s="44"/>
      <c r="O96" s="44"/>
    </row>
    <row r="97" spans="2:15" outlineLevel="1" x14ac:dyDescent="0.15">
      <c r="B97" s="64"/>
      <c r="C97" s="63"/>
      <c r="D97" s="64"/>
      <c r="E97" s="64"/>
      <c r="F97" s="63"/>
      <c r="G97" s="63"/>
      <c r="H97" s="63"/>
      <c r="I97" s="63"/>
      <c r="J97" s="63"/>
      <c r="K97" s="63"/>
      <c r="L97" s="63"/>
      <c r="M97" s="63"/>
      <c r="N97" s="63"/>
      <c r="O97" s="63"/>
    </row>
    <row r="98" spans="2:15" outlineLevel="1" x14ac:dyDescent="0.15">
      <c r="F98" s="62" t="s">
        <v>217</v>
      </c>
      <c r="G98" s="62"/>
    </row>
    <row r="99" spans="2:15" outlineLevel="1" x14ac:dyDescent="0.15">
      <c r="B99" s="49" t="s">
        <v>216</v>
      </c>
    </row>
    <row r="100" spans="2:15" outlineLevel="1" x14ac:dyDescent="0.15">
      <c r="B100" s="46" t="s">
        <v>215</v>
      </c>
      <c r="F100" s="136">
        <f>'Balance Sheet'!F41+'Balance Sheet'!F42+'Balance Sheet'!F46+'Balance Sheet'!F47</f>
        <v>6334.4</v>
      </c>
      <c r="G100" s="124"/>
      <c r="H100" s="124"/>
    </row>
    <row r="101" spans="2:15" outlineLevel="1" x14ac:dyDescent="0.15">
      <c r="B101" s="46" t="s">
        <v>214</v>
      </c>
      <c r="F101" s="135">
        <f>C4</f>
        <v>44.26</v>
      </c>
      <c r="G101" s="124"/>
      <c r="H101" s="124"/>
    </row>
    <row r="102" spans="2:15" outlineLevel="1" x14ac:dyDescent="0.15">
      <c r="B102" s="46" t="s">
        <v>213</v>
      </c>
      <c r="F102" s="159">
        <f>I93</f>
        <v>194.721011</v>
      </c>
      <c r="G102" s="124"/>
      <c r="H102" s="124"/>
    </row>
    <row r="103" spans="2:15" outlineLevel="1" x14ac:dyDescent="0.15">
      <c r="B103" s="46" t="s">
        <v>212</v>
      </c>
      <c r="F103" s="134">
        <f>F102*F101</f>
        <v>8618.3519468600007</v>
      </c>
      <c r="G103" s="124"/>
      <c r="H103" s="124"/>
    </row>
    <row r="104" spans="2:15" outlineLevel="1" x14ac:dyDescent="0.15">
      <c r="B104" s="124"/>
      <c r="F104" s="124"/>
      <c r="G104" s="124"/>
      <c r="H104" s="124"/>
    </row>
    <row r="105" spans="2:15" outlineLevel="1" x14ac:dyDescent="0.15">
      <c r="B105" s="46" t="s">
        <v>211</v>
      </c>
      <c r="F105" s="72">
        <f>F100/(F100+F103)</f>
        <v>0.4236277056231238</v>
      </c>
      <c r="G105" s="137"/>
      <c r="H105" s="124"/>
    </row>
    <row r="106" spans="2:15" outlineLevel="1" x14ac:dyDescent="0.15">
      <c r="B106" s="46" t="s">
        <v>210</v>
      </c>
      <c r="F106" s="72">
        <f>F103/(F103+F100)</f>
        <v>0.5763722943768762</v>
      </c>
      <c r="G106" s="137"/>
      <c r="H106" s="124"/>
    </row>
    <row r="107" spans="2:15" outlineLevel="1" x14ac:dyDescent="0.15">
      <c r="B107" s="124"/>
      <c r="F107" s="124"/>
      <c r="G107" s="124"/>
      <c r="H107" s="124"/>
    </row>
    <row r="108" spans="2:15" outlineLevel="1" x14ac:dyDescent="0.15">
      <c r="B108" s="49" t="s">
        <v>209</v>
      </c>
      <c r="F108" s="124"/>
      <c r="G108" s="124"/>
      <c r="H108" s="124"/>
    </row>
    <row r="109" spans="2:15" outlineLevel="1" x14ac:dyDescent="0.15">
      <c r="B109" s="46" t="s">
        <v>323</v>
      </c>
      <c r="F109" s="103">
        <v>1.2E-2</v>
      </c>
      <c r="G109" s="124"/>
      <c r="H109" s="124"/>
    </row>
    <row r="110" spans="2:15" outlineLevel="1" x14ac:dyDescent="0.15">
      <c r="B110" s="46" t="s">
        <v>208</v>
      </c>
      <c r="F110" s="72">
        <f>F109+F114</f>
        <v>5.3000000000000005E-2</v>
      </c>
      <c r="G110" s="124"/>
      <c r="H110" s="124"/>
    </row>
    <row r="111" spans="2:15" outlineLevel="1" x14ac:dyDescent="0.15">
      <c r="B111" s="46" t="s">
        <v>207</v>
      </c>
      <c r="F111" s="197">
        <f>C20</f>
        <v>0.25</v>
      </c>
      <c r="G111" s="124"/>
      <c r="H111" s="124"/>
    </row>
    <row r="112" spans="2:15" outlineLevel="1" x14ac:dyDescent="0.15">
      <c r="B112" s="124"/>
      <c r="F112" s="124"/>
      <c r="G112" s="124"/>
      <c r="H112" s="124"/>
      <c r="J112" s="61"/>
    </row>
    <row r="113" spans="1:15" outlineLevel="1" x14ac:dyDescent="0.15">
      <c r="B113" s="49" t="s">
        <v>204</v>
      </c>
      <c r="F113" s="124"/>
      <c r="G113" s="124"/>
      <c r="H113" s="124"/>
    </row>
    <row r="114" spans="1:15" outlineLevel="1" x14ac:dyDescent="0.15">
      <c r="B114" s="46" t="s">
        <v>206</v>
      </c>
      <c r="F114" s="103">
        <v>4.1000000000000002E-2</v>
      </c>
      <c r="G114" s="124"/>
      <c r="H114" s="124"/>
    </row>
    <row r="115" spans="1:15" outlineLevel="1" x14ac:dyDescent="0.15">
      <c r="B115" s="46" t="s">
        <v>205</v>
      </c>
      <c r="F115" s="103">
        <v>5.8099999999999999E-2</v>
      </c>
      <c r="G115" s="124"/>
      <c r="H115" s="124"/>
    </row>
    <row r="116" spans="1:15" outlineLevel="1" x14ac:dyDescent="0.15">
      <c r="B116" s="46" t="s">
        <v>191</v>
      </c>
      <c r="F116" s="198">
        <f>D137</f>
        <v>0.78574660925992268</v>
      </c>
      <c r="G116" s="124"/>
      <c r="H116" s="124"/>
    </row>
    <row r="117" spans="1:15" outlineLevel="1" x14ac:dyDescent="0.15">
      <c r="B117" s="49" t="s">
        <v>204</v>
      </c>
      <c r="F117" s="51">
        <f>F114+F115*F116</f>
        <v>8.6651877998001503E-2</v>
      </c>
      <c r="G117" s="124"/>
      <c r="H117" s="124"/>
    </row>
    <row r="118" spans="1:15" outlineLevel="1" x14ac:dyDescent="0.15">
      <c r="B118" s="124"/>
      <c r="F118" s="124"/>
      <c r="G118" s="124"/>
      <c r="H118" s="124"/>
    </row>
    <row r="119" spans="1:15" outlineLevel="1" x14ac:dyDescent="0.15">
      <c r="B119" s="49" t="s">
        <v>203</v>
      </c>
      <c r="F119" s="50">
        <f>(F105*F110*(1-F111))+(F106*F117)</f>
        <v>6.6782943032292458E-2</v>
      </c>
      <c r="G119" s="124"/>
      <c r="H119" s="124"/>
    </row>
    <row r="120" spans="1:15" outlineLevel="1" x14ac:dyDescent="0.15"/>
    <row r="121" spans="1:15" x14ac:dyDescent="0.15">
      <c r="A121" s="33" t="s">
        <v>187</v>
      </c>
      <c r="B121" s="45" t="s">
        <v>202</v>
      </c>
      <c r="C121" s="44"/>
      <c r="D121" s="45"/>
      <c r="E121" s="45"/>
      <c r="F121" s="44"/>
      <c r="G121" s="44"/>
      <c r="H121" s="44"/>
      <c r="I121" s="44"/>
      <c r="J121" s="44"/>
      <c r="K121" s="44"/>
      <c r="L121" s="44"/>
      <c r="M121" s="44"/>
      <c r="N121" s="44"/>
      <c r="O121" s="44"/>
    </row>
    <row r="122" spans="1:15" outlineLevel="1" x14ac:dyDescent="0.15">
      <c r="B122" s="46"/>
      <c r="C122" s="46"/>
      <c r="D122" s="46"/>
      <c r="E122" s="46"/>
      <c r="F122" s="46"/>
      <c r="G122" s="46"/>
      <c r="H122" s="46"/>
      <c r="I122" s="46"/>
      <c r="J122" s="46"/>
      <c r="K122" s="46"/>
      <c r="L122" s="46"/>
      <c r="M122" s="141"/>
      <c r="N122" s="39"/>
    </row>
    <row r="123" spans="1:15" outlineLevel="1" x14ac:dyDescent="0.15">
      <c r="B123" s="46"/>
      <c r="C123" s="46"/>
      <c r="D123" s="46"/>
      <c r="E123" s="46"/>
      <c r="F123" s="46"/>
      <c r="G123" s="46"/>
      <c r="H123" s="46"/>
      <c r="I123" s="46"/>
      <c r="J123" s="46"/>
      <c r="K123" s="46"/>
      <c r="L123" s="46"/>
      <c r="M123" s="142"/>
    </row>
    <row r="124" spans="1:15" outlineLevel="1" x14ac:dyDescent="0.15">
      <c r="B124" s="46"/>
      <c r="C124" s="46"/>
      <c r="D124" s="46"/>
      <c r="E124" s="60" t="s">
        <v>201</v>
      </c>
      <c r="F124" s="60" t="s">
        <v>200</v>
      </c>
      <c r="G124" s="59" t="s">
        <v>199</v>
      </c>
      <c r="H124" s="59" t="s">
        <v>198</v>
      </c>
      <c r="I124" s="59" t="s">
        <v>197</v>
      </c>
      <c r="J124" s="46"/>
      <c r="K124" s="59" t="s">
        <v>196</v>
      </c>
      <c r="M124" s="143"/>
    </row>
    <row r="125" spans="1:15" ht="15" outlineLevel="1" thickBot="1" x14ac:dyDescent="0.2">
      <c r="B125" s="58" t="s">
        <v>195</v>
      </c>
      <c r="C125" s="57" t="s">
        <v>194</v>
      </c>
      <c r="D125" s="56"/>
      <c r="E125" s="56" t="s">
        <v>192</v>
      </c>
      <c r="F125" s="56" t="s">
        <v>193</v>
      </c>
      <c r="G125" s="56" t="s">
        <v>192</v>
      </c>
      <c r="H125" s="56" t="s">
        <v>191</v>
      </c>
      <c r="I125" s="56" t="s">
        <v>191</v>
      </c>
      <c r="J125" s="46"/>
      <c r="K125" s="56" t="s">
        <v>190</v>
      </c>
      <c r="M125" s="143"/>
    </row>
    <row r="126" spans="1:15" outlineLevel="1" x14ac:dyDescent="0.15">
      <c r="B126" s="103" t="s">
        <v>324</v>
      </c>
      <c r="C126" s="103" t="s">
        <v>327</v>
      </c>
      <c r="D126" s="46"/>
      <c r="E126" s="55">
        <v>106340.9</v>
      </c>
      <c r="F126" s="55">
        <v>65492.800000000003</v>
      </c>
      <c r="G126" s="144">
        <f>F126/E126</f>
        <v>0.61587592356280607</v>
      </c>
      <c r="H126" s="145">
        <v>0.67</v>
      </c>
      <c r="I126" s="144">
        <f>H126/(1+G126*(1-K126))</f>
        <v>0.4583055052569624</v>
      </c>
      <c r="J126" s="46"/>
      <c r="K126" s="140">
        <v>0.25</v>
      </c>
      <c r="M126" s="143"/>
    </row>
    <row r="127" spans="1:15" outlineLevel="1" x14ac:dyDescent="0.15">
      <c r="B127" s="103" t="s">
        <v>325</v>
      </c>
      <c r="C127" s="103" t="s">
        <v>328</v>
      </c>
      <c r="D127" s="46"/>
      <c r="E127" s="55">
        <v>22340.5</v>
      </c>
      <c r="F127" s="55">
        <v>10544.9</v>
      </c>
      <c r="G127" s="144">
        <f t="shared" ref="G127:G130" si="36">F127/E127</f>
        <v>0.47200823616302229</v>
      </c>
      <c r="H127" s="43">
        <v>0.46</v>
      </c>
      <c r="I127" s="144">
        <f t="shared" ref="I127:I130" si="37">H127/(1+G127*(1-K127))</f>
        <v>0.3397325712188845</v>
      </c>
      <c r="J127" s="46"/>
      <c r="K127" s="139">
        <f>$K$126</f>
        <v>0.25</v>
      </c>
    </row>
    <row r="128" spans="1:15" outlineLevel="1" x14ac:dyDescent="0.15">
      <c r="B128" s="103" t="s">
        <v>185</v>
      </c>
      <c r="C128" s="103" t="s">
        <v>329</v>
      </c>
      <c r="D128" s="46"/>
      <c r="E128" s="55">
        <v>2086.1999999999998</v>
      </c>
      <c r="F128" s="55">
        <v>40.9</v>
      </c>
      <c r="G128" s="144">
        <f t="shared" si="36"/>
        <v>1.960502348768095E-2</v>
      </c>
      <c r="H128" s="43">
        <v>1.06</v>
      </c>
      <c r="I128" s="144">
        <f t="shared" si="37"/>
        <v>1.0446398582816654</v>
      </c>
      <c r="J128" s="46"/>
      <c r="K128" s="139">
        <f>$K$126</f>
        <v>0.25</v>
      </c>
    </row>
    <row r="129" spans="1:15" outlineLevel="1" x14ac:dyDescent="0.15">
      <c r="B129" s="103" t="s">
        <v>331</v>
      </c>
      <c r="C129" s="103" t="s">
        <v>332</v>
      </c>
      <c r="D129" s="46"/>
      <c r="E129" s="55">
        <v>109750.3</v>
      </c>
      <c r="F129" s="55">
        <v>74080</v>
      </c>
      <c r="G129" s="144">
        <f t="shared" si="36"/>
        <v>0.67498676541203073</v>
      </c>
      <c r="H129" s="43">
        <v>0.5</v>
      </c>
      <c r="I129" s="144">
        <f t="shared" si="37"/>
        <v>0.33195239498083307</v>
      </c>
      <c r="J129" s="46"/>
      <c r="K129" s="139">
        <f>$K$126</f>
        <v>0.25</v>
      </c>
    </row>
    <row r="130" spans="1:15" outlineLevel="1" x14ac:dyDescent="0.15">
      <c r="B130" s="103" t="s">
        <v>326</v>
      </c>
      <c r="C130" s="103" t="s">
        <v>330</v>
      </c>
      <c r="D130" s="46"/>
      <c r="E130" s="55">
        <v>38706.300000000003</v>
      </c>
      <c r="F130" s="55">
        <v>17586</v>
      </c>
      <c r="G130" s="144">
        <f t="shared" si="36"/>
        <v>0.45434464156997695</v>
      </c>
      <c r="H130" s="43">
        <v>0.48</v>
      </c>
      <c r="I130" s="144">
        <f t="shared" si="37"/>
        <v>0.35800631264957861</v>
      </c>
      <c r="J130" s="46"/>
      <c r="K130" s="139">
        <f>$K$126</f>
        <v>0.25</v>
      </c>
    </row>
    <row r="131" spans="1:15" outlineLevel="1" x14ac:dyDescent="0.15">
      <c r="B131" s="46"/>
      <c r="C131" s="46"/>
      <c r="D131" s="46"/>
      <c r="E131" s="55"/>
      <c r="F131" s="54"/>
      <c r="G131" s="53"/>
      <c r="H131" s="43"/>
      <c r="I131" s="48"/>
      <c r="J131" s="46"/>
      <c r="K131" s="139"/>
    </row>
    <row r="132" spans="1:15" outlineLevel="1" x14ac:dyDescent="0.15">
      <c r="B132" s="46"/>
      <c r="C132" s="46"/>
      <c r="D132" s="46"/>
      <c r="E132" s="46"/>
      <c r="F132" s="46"/>
      <c r="G132" s="46"/>
      <c r="H132" s="46"/>
      <c r="I132" s="46"/>
      <c r="J132" s="46"/>
      <c r="K132" s="46"/>
      <c r="L132" s="46"/>
      <c r="M132" s="46"/>
    </row>
    <row r="133" spans="1:15" outlineLevel="1" x14ac:dyDescent="0.15">
      <c r="B133" s="46" t="s">
        <v>189</v>
      </c>
      <c r="C133" s="48"/>
      <c r="D133" s="48">
        <f>AVERAGE(I126:I130)</f>
        <v>0.50652732847758486</v>
      </c>
      <c r="E133" s="46"/>
      <c r="F133" s="46"/>
      <c r="G133" s="46"/>
      <c r="H133" s="46"/>
      <c r="I133" s="48"/>
      <c r="J133" s="46"/>
      <c r="K133" s="48"/>
      <c r="L133" s="46"/>
      <c r="M133" s="46"/>
    </row>
    <row r="134" spans="1:15" outlineLevel="1" x14ac:dyDescent="0.15">
      <c r="B134" s="46" t="s">
        <v>188</v>
      </c>
      <c r="C134" s="124"/>
      <c r="D134" s="146">
        <v>0.5</v>
      </c>
      <c r="E134" s="46"/>
      <c r="F134" s="46"/>
      <c r="G134" s="46"/>
      <c r="H134" s="46"/>
      <c r="I134" s="48"/>
      <c r="J134" s="46"/>
      <c r="K134" s="48"/>
      <c r="L134" s="46"/>
      <c r="M134" s="46"/>
    </row>
    <row r="135" spans="1:15" outlineLevel="1" x14ac:dyDescent="0.15">
      <c r="B135" s="46" t="str">
        <f>C3&amp;" Debt/Equity ratio"</f>
        <v>TAP Debt/Equity ratio</v>
      </c>
      <c r="C135" s="46"/>
      <c r="D135" s="53">
        <f>F100/F103</f>
        <v>0.73498971022039394</v>
      </c>
      <c r="E135" s="46"/>
      <c r="F135" s="46"/>
      <c r="G135" s="46"/>
      <c r="H135" s="46"/>
      <c r="I135" s="52"/>
      <c r="J135" s="46"/>
      <c r="K135" s="51"/>
      <c r="L135" s="46"/>
      <c r="M135" s="46"/>
    </row>
    <row r="136" spans="1:15" outlineLevel="1" x14ac:dyDescent="0.15">
      <c r="B136" s="46" t="str">
        <f>C3&amp;" Tax Rate"</f>
        <v>TAP Tax Rate</v>
      </c>
      <c r="C136" s="51"/>
      <c r="D136" s="140">
        <v>0.25</v>
      </c>
      <c r="E136" s="46"/>
      <c r="F136" s="46"/>
      <c r="G136" s="46"/>
      <c r="H136" s="46"/>
      <c r="I136" s="50"/>
      <c r="J136" s="46"/>
      <c r="L136" s="46"/>
      <c r="M136" s="46"/>
    </row>
    <row r="137" spans="1:15" outlineLevel="1" x14ac:dyDescent="0.15">
      <c r="B137" s="49" t="str">
        <f>C3&amp;" Levered Beta"</f>
        <v>TAP Levered Beta</v>
      </c>
      <c r="C137" s="46"/>
      <c r="D137" s="53">
        <f>D133*(1+D135*(1-D136))</f>
        <v>0.78574660925992268</v>
      </c>
      <c r="E137" s="46"/>
      <c r="F137" s="46"/>
      <c r="G137" s="46"/>
      <c r="H137" s="46"/>
      <c r="I137" s="48"/>
      <c r="J137" s="46"/>
      <c r="K137" s="47"/>
      <c r="L137" s="46"/>
      <c r="M137" s="46"/>
    </row>
    <row r="138" spans="1:15" outlineLevel="1" x14ac:dyDescent="0.15"/>
    <row r="139" spans="1:15" x14ac:dyDescent="0.15">
      <c r="A139" s="33" t="s">
        <v>187</v>
      </c>
      <c r="B139" s="45" t="s">
        <v>186</v>
      </c>
      <c r="C139" s="44"/>
      <c r="D139" s="45"/>
      <c r="E139" s="45"/>
      <c r="F139" s="44"/>
      <c r="G139" s="44"/>
      <c r="H139" s="44"/>
      <c r="I139" s="44"/>
      <c r="J139" s="44"/>
      <c r="K139" s="44"/>
      <c r="L139" s="44"/>
      <c r="M139" s="44"/>
      <c r="N139" s="44"/>
      <c r="O139" s="44"/>
    </row>
    <row r="141" spans="1:15" x14ac:dyDescent="0.15">
      <c r="D141" s="34"/>
    </row>
    <row r="142" spans="1:15" x14ac:dyDescent="0.15">
      <c r="B142" s="95" t="s">
        <v>338</v>
      </c>
      <c r="C142" s="157">
        <v>5.0000000000000001E-3</v>
      </c>
      <c r="D142" s="34"/>
    </row>
    <row r="143" spans="1:15" x14ac:dyDescent="0.15">
      <c r="B143" s="67" t="s">
        <v>339</v>
      </c>
      <c r="C143" s="156">
        <v>5.0000000000000001E-3</v>
      </c>
      <c r="D143" s="34"/>
    </row>
    <row r="144" spans="1:15" x14ac:dyDescent="0.15">
      <c r="C144" s="42"/>
      <c r="D144" s="34"/>
      <c r="G144" s="43"/>
      <c r="H144" s="73" t="s">
        <v>218</v>
      </c>
    </row>
    <row r="145" spans="2:14" x14ac:dyDescent="0.15">
      <c r="C145" s="274">
        <f>H54</f>
        <v>95.112021207345052</v>
      </c>
      <c r="D145" s="72">
        <f t="shared" ref="D145:F145" si="38">E145-$C$142</f>
        <v>4.5000000000000012E-2</v>
      </c>
      <c r="E145" s="72">
        <f t="shared" si="38"/>
        <v>5.000000000000001E-2</v>
      </c>
      <c r="F145" s="72">
        <f t="shared" si="38"/>
        <v>5.5000000000000007E-2</v>
      </c>
      <c r="G145" s="72">
        <f>H145-$C$142</f>
        <v>6.0000000000000005E-2</v>
      </c>
      <c r="H145" s="158">
        <v>6.5000000000000002E-2</v>
      </c>
      <c r="I145" s="72">
        <f>H145+$C$142</f>
        <v>7.0000000000000007E-2</v>
      </c>
      <c r="J145" s="72">
        <f t="shared" ref="J145:L145" si="39">I145+$C$142</f>
        <v>7.5000000000000011E-2</v>
      </c>
      <c r="K145" s="72">
        <f t="shared" si="39"/>
        <v>8.0000000000000016E-2</v>
      </c>
      <c r="L145" s="72">
        <f t="shared" si="39"/>
        <v>8.500000000000002E-2</v>
      </c>
      <c r="M145" s="72"/>
      <c r="N145" s="72"/>
    </row>
    <row r="146" spans="2:14" x14ac:dyDescent="0.15">
      <c r="C146" s="158">
        <v>5.0000000000000001E-3</v>
      </c>
      <c r="D146" s="174">
        <f t="dataTable" ref="D146:L153" dt2D="1" dtr="1" r1="H46" r2="H44"/>
        <v>137.8208843210214</v>
      </c>
      <c r="E146" s="174">
        <v>119.13626902272735</v>
      </c>
      <c r="F146" s="174">
        <v>104.19036551141346</v>
      </c>
      <c r="G146" s="174">
        <v>91.963484627713953</v>
      </c>
      <c r="H146" s="174">
        <v>81.775834717401139</v>
      </c>
      <c r="I146" s="174">
        <v>73.156791785488096</v>
      </c>
      <c r="J146" s="174">
        <v>65.770196728486283</v>
      </c>
      <c r="K146" s="174">
        <v>59.369533674954354</v>
      </c>
      <c r="L146" s="174">
        <v>53.769916449413131</v>
      </c>
    </row>
    <row r="147" spans="2:14" x14ac:dyDescent="0.15">
      <c r="C147" s="72">
        <f>C146+$C$143</f>
        <v>0.01</v>
      </c>
      <c r="D147" s="174">
        <v>158.38236342770364</v>
      </c>
      <c r="E147" s="174">
        <v>134.82608496362224</v>
      </c>
      <c r="F147" s="174">
        <v>116.50595469694403</v>
      </c>
      <c r="G147" s="174">
        <v>101.85109615940216</v>
      </c>
      <c r="H147" s="174">
        <v>89.861861570546949</v>
      </c>
      <c r="I147" s="174">
        <v>79.871819856046912</v>
      </c>
      <c r="J147" s="174">
        <v>71.419596350901557</v>
      </c>
      <c r="K147" s="174">
        <v>64.175638345063732</v>
      </c>
      <c r="L147" s="174">
        <v>57.89827441164406</v>
      </c>
    </row>
    <row r="148" spans="2:14" x14ac:dyDescent="0.15">
      <c r="B148" s="36"/>
      <c r="C148" s="72">
        <f t="shared" ref="C148:C153" si="40">C147+$C$143</f>
        <v>1.4999999999999999E-2</v>
      </c>
      <c r="D148" s="174">
        <v>185.79766890327997</v>
      </c>
      <c r="E148" s="174">
        <v>154.9987054590585</v>
      </c>
      <c r="F148" s="174">
        <v>131.90044117885719</v>
      </c>
      <c r="G148" s="174">
        <v>113.93595469813212</v>
      </c>
      <c r="H148" s="174">
        <v>99.565093794321839</v>
      </c>
      <c r="I148" s="174">
        <v>87.80776212125275</v>
      </c>
      <c r="J148" s="174">
        <v>78.010562577052696</v>
      </c>
      <c r="K148" s="174">
        <v>69.721143733651445</v>
      </c>
      <c r="L148" s="174">
        <v>62.616397797050794</v>
      </c>
    </row>
    <row r="149" spans="2:14" x14ac:dyDescent="0.15">
      <c r="B149" s="73" t="s">
        <v>340</v>
      </c>
      <c r="C149" s="72">
        <f t="shared" si="40"/>
        <v>0.02</v>
      </c>
      <c r="D149" s="174">
        <v>224.17909656908679</v>
      </c>
      <c r="E149" s="174">
        <v>181.89553278630686</v>
      </c>
      <c r="F149" s="174">
        <v>151.6933523698884</v>
      </c>
      <c r="G149" s="174">
        <v>129.04202787154458</v>
      </c>
      <c r="H149" s="174">
        <v>111.42459984560232</v>
      </c>
      <c r="I149" s="174">
        <v>97.330892839499796</v>
      </c>
      <c r="J149" s="174">
        <v>85.799886298867705</v>
      </c>
      <c r="K149" s="174">
        <v>76.190900020337139</v>
      </c>
      <c r="L149" s="174">
        <v>68.060386318673991</v>
      </c>
    </row>
    <row r="150" spans="2:14" x14ac:dyDescent="0.15">
      <c r="C150" s="72">
        <f t="shared" si="40"/>
        <v>2.5000000000000001E-2</v>
      </c>
      <c r="D150" s="174">
        <v>281.75123806779703</v>
      </c>
      <c r="E150" s="174">
        <v>219.55109104445452</v>
      </c>
      <c r="F150" s="174">
        <v>178.08390062459662</v>
      </c>
      <c r="G150" s="174">
        <v>148.46412195164635</v>
      </c>
      <c r="H150" s="174">
        <v>126.24898240970289</v>
      </c>
      <c r="I150" s="174">
        <v>108.97027482846833</v>
      </c>
      <c r="J150" s="174">
        <v>95.147074765045673</v>
      </c>
      <c r="K150" s="174">
        <v>83.836975631874736</v>
      </c>
      <c r="L150" s="174">
        <v>74.411706260567669</v>
      </c>
    </row>
    <row r="151" spans="2:14" x14ac:dyDescent="0.15">
      <c r="C151" s="72">
        <f t="shared" si="40"/>
        <v>3.0000000000000002E-2</v>
      </c>
      <c r="D151" s="174">
        <v>377.70480723231424</v>
      </c>
      <c r="E151" s="174">
        <v>276.03442843167613</v>
      </c>
      <c r="F151" s="174">
        <v>215.03066818118825</v>
      </c>
      <c r="G151" s="174">
        <v>174.36024739178208</v>
      </c>
      <c r="H151" s="174">
        <v>145.30890284926079</v>
      </c>
      <c r="I151" s="174">
        <v>123.51950231467909</v>
      </c>
      <c r="J151" s="174">
        <v>106.57141622370767</v>
      </c>
      <c r="K151" s="174">
        <v>93.012266365719896</v>
      </c>
      <c r="L151" s="174">
        <v>81.917811646442075</v>
      </c>
    </row>
    <row r="152" spans="2:14" x14ac:dyDescent="0.15">
      <c r="C152" s="72">
        <f t="shared" si="40"/>
        <v>3.5000000000000003E-2</v>
      </c>
      <c r="D152" s="174">
        <v>569.61194556134831</v>
      </c>
      <c r="E152" s="174">
        <v>370.17332407704538</v>
      </c>
      <c r="F152" s="174">
        <v>270.45081951607563</v>
      </c>
      <c r="G152" s="174">
        <v>210.61482300797206</v>
      </c>
      <c r="H152" s="174">
        <v>170.72213010200468</v>
      </c>
      <c r="I152" s="174">
        <v>142.22565193980716</v>
      </c>
      <c r="J152" s="174">
        <v>120.85184304703515</v>
      </c>
      <c r="K152" s="174">
        <v>104.22651059597509</v>
      </c>
      <c r="L152" s="174">
        <v>90.925138109491343</v>
      </c>
    </row>
    <row r="153" spans="2:14" x14ac:dyDescent="0.15">
      <c r="C153" s="72">
        <f t="shared" si="40"/>
        <v>0.04</v>
      </c>
      <c r="D153" s="174">
        <v>1145.3333605484495</v>
      </c>
      <c r="E153" s="174">
        <v>558.45111536778347</v>
      </c>
      <c r="F153" s="174">
        <v>362.81773840755454</v>
      </c>
      <c r="G153" s="174">
        <v>264.99668643225698</v>
      </c>
      <c r="H153" s="174">
        <v>206.30064825584606</v>
      </c>
      <c r="I153" s="174">
        <v>167.16718477331125</v>
      </c>
      <c r="J153" s="174">
        <v>139.21239181988474</v>
      </c>
      <c r="K153" s="174">
        <v>118.24431588379406</v>
      </c>
      <c r="L153" s="174">
        <v>101.93409267544044</v>
      </c>
      <c r="N153" s="41"/>
    </row>
    <row r="155" spans="2:14" x14ac:dyDescent="0.15">
      <c r="C155" s="39"/>
      <c r="D155" s="39"/>
      <c r="E155" s="39"/>
      <c r="F155" s="39"/>
      <c r="G155" s="39"/>
      <c r="H155" s="39"/>
      <c r="I155" s="39"/>
      <c r="J155" s="39"/>
      <c r="K155" s="39"/>
      <c r="L155" s="39"/>
      <c r="M155" s="39"/>
    </row>
    <row r="156" spans="2:14" x14ac:dyDescent="0.15">
      <c r="B156" s="40" t="s">
        <v>546</v>
      </c>
      <c r="C156" s="41">
        <v>1</v>
      </c>
      <c r="D156" s="40"/>
      <c r="E156" s="40"/>
      <c r="F156" s="40"/>
      <c r="G156" s="41"/>
      <c r="H156" s="40"/>
      <c r="I156" s="40"/>
      <c r="J156" s="40"/>
      <c r="K156" s="40"/>
      <c r="L156" s="40"/>
      <c r="M156" s="40"/>
    </row>
    <row r="157" spans="2:14" x14ac:dyDescent="0.15">
      <c r="B157" s="298" t="s">
        <v>547</v>
      </c>
      <c r="C157" s="298"/>
      <c r="D157" s="298"/>
      <c r="E157" s="298"/>
      <c r="F157" s="298"/>
      <c r="G157" s="298"/>
      <c r="H157" s="298"/>
      <c r="I157" s="298"/>
      <c r="J157" s="298"/>
      <c r="K157" s="34"/>
      <c r="L157" s="34"/>
      <c r="M157" s="34"/>
    </row>
    <row r="158" spans="2:14" x14ac:dyDescent="0.15">
      <c r="B158" s="298"/>
      <c r="C158" s="301">
        <f t="shared" ref="C158:H158" si="41">D158-$C$156</f>
        <v>2.5999999999999996</v>
      </c>
      <c r="D158" s="301">
        <f t="shared" si="41"/>
        <v>3.5999999999999996</v>
      </c>
      <c r="E158" s="301">
        <f t="shared" si="41"/>
        <v>4.5999999999999996</v>
      </c>
      <c r="F158" s="301">
        <f t="shared" si="41"/>
        <v>5.6</v>
      </c>
      <c r="G158" s="301">
        <f t="shared" si="41"/>
        <v>6.6</v>
      </c>
      <c r="H158" s="301">
        <f t="shared" si="41"/>
        <v>7.6</v>
      </c>
      <c r="I158" s="301">
        <f>J158-$C$156</f>
        <v>8.6</v>
      </c>
      <c r="J158" s="300">
        <v>9.6</v>
      </c>
      <c r="K158" s="301">
        <f>J158+$C$156</f>
        <v>10.6</v>
      </c>
      <c r="L158" s="301">
        <f t="shared" ref="L158:M158" si="42">K158+$C$156</f>
        <v>11.6</v>
      </c>
      <c r="M158" s="301">
        <f t="shared" si="42"/>
        <v>12.6</v>
      </c>
    </row>
    <row r="159" spans="2:14" x14ac:dyDescent="0.15">
      <c r="B159" s="299">
        <f>N54</f>
        <v>85.743668227016101</v>
      </c>
      <c r="C159" s="299">
        <f t="dataTable" ref="C159:M159" dt2D="0" dtr="1" r1="N44"/>
        <v>21.551049613284231</v>
      </c>
      <c r="D159" s="299">
        <v>30.721423700960212</v>
      </c>
      <c r="E159" s="299">
        <v>39.891797788636197</v>
      </c>
      <c r="F159" s="299">
        <v>49.062171876312178</v>
      </c>
      <c r="G159" s="299">
        <v>58.232545963988159</v>
      </c>
      <c r="H159" s="299">
        <v>67.40292005166414</v>
      </c>
      <c r="I159" s="299">
        <v>76.573294139340121</v>
      </c>
      <c r="J159" s="299">
        <v>85.743668227016101</v>
      </c>
      <c r="K159" s="299">
        <v>94.914042314692097</v>
      </c>
      <c r="L159" s="299">
        <v>104.08441640236806</v>
      </c>
      <c r="M159" s="299">
        <v>113.25479049004403</v>
      </c>
    </row>
    <row r="160" spans="2:14" x14ac:dyDescent="0.15">
      <c r="L160" s="37"/>
    </row>
    <row r="161" spans="2:12" x14ac:dyDescent="0.15">
      <c r="L161" s="37"/>
    </row>
    <row r="163" spans="2:12" x14ac:dyDescent="0.15">
      <c r="D163" s="39"/>
      <c r="E163" s="39"/>
      <c r="F163" s="39"/>
      <c r="G163" s="39"/>
      <c r="H163" s="39"/>
      <c r="I163" s="39"/>
      <c r="J163" s="39"/>
      <c r="K163" s="39"/>
      <c r="L163" s="39"/>
    </row>
    <row r="164" spans="2:12" x14ac:dyDescent="0.15">
      <c r="C164" s="34"/>
      <c r="D164" s="38"/>
      <c r="E164" s="38"/>
      <c r="F164" s="38"/>
      <c r="G164" s="38"/>
      <c r="H164" s="38"/>
      <c r="I164" s="38"/>
      <c r="J164" s="38"/>
      <c r="K164" s="38"/>
      <c r="L164" s="38"/>
    </row>
    <row r="165" spans="2:12" x14ac:dyDescent="0.15">
      <c r="C165" s="37"/>
      <c r="D165" s="34"/>
      <c r="E165" s="34"/>
      <c r="F165" s="34"/>
      <c r="G165" s="34"/>
      <c r="H165" s="34"/>
      <c r="I165" s="34"/>
      <c r="J165" s="34"/>
      <c r="K165" s="34"/>
      <c r="L165" s="34"/>
    </row>
    <row r="166" spans="2:12" x14ac:dyDescent="0.15">
      <c r="C166" s="35"/>
      <c r="D166" s="34"/>
      <c r="E166" s="34"/>
      <c r="F166" s="34"/>
      <c r="G166" s="34"/>
      <c r="H166" s="34"/>
      <c r="I166" s="34"/>
      <c r="J166" s="34"/>
      <c r="K166" s="34"/>
      <c r="L166" s="34"/>
    </row>
    <row r="167" spans="2:12" x14ac:dyDescent="0.15">
      <c r="B167" s="36"/>
      <c r="C167" s="35"/>
      <c r="D167" s="34"/>
      <c r="E167" s="34"/>
      <c r="F167" s="34"/>
      <c r="G167" s="34"/>
      <c r="H167" s="34"/>
      <c r="I167" s="34"/>
      <c r="J167" s="34"/>
      <c r="K167" s="34"/>
      <c r="L167" s="34"/>
    </row>
    <row r="168" spans="2:12" x14ac:dyDescent="0.15">
      <c r="B168" s="36"/>
      <c r="C168" s="35"/>
      <c r="D168" s="34"/>
      <c r="E168" s="34"/>
      <c r="F168" s="34"/>
      <c r="G168" s="34"/>
      <c r="H168" s="34"/>
      <c r="I168" s="34"/>
      <c r="J168" s="34"/>
      <c r="K168" s="34"/>
      <c r="L168" s="34"/>
    </row>
    <row r="169" spans="2:12" x14ac:dyDescent="0.15">
      <c r="C169" s="35"/>
      <c r="D169" s="34"/>
      <c r="E169" s="34"/>
      <c r="F169" s="34"/>
      <c r="G169" s="34"/>
      <c r="H169" s="34"/>
      <c r="I169" s="34"/>
      <c r="J169" s="34"/>
      <c r="K169" s="34"/>
      <c r="L169" s="34"/>
    </row>
    <row r="170" spans="2:12" x14ac:dyDescent="0.15">
      <c r="C170" s="35"/>
      <c r="D170" s="34"/>
      <c r="E170" s="34"/>
      <c r="F170" s="34"/>
      <c r="G170" s="34"/>
      <c r="H170" s="34"/>
      <c r="I170" s="34"/>
      <c r="J170" s="34"/>
      <c r="K170" s="34"/>
      <c r="L170" s="34"/>
    </row>
    <row r="171" spans="2:12" x14ac:dyDescent="0.15">
      <c r="C171" s="35"/>
      <c r="D171" s="34"/>
      <c r="E171" s="34"/>
      <c r="F171" s="34"/>
      <c r="G171" s="34"/>
      <c r="H171" s="34"/>
      <c r="I171" s="34"/>
      <c r="J171" s="34"/>
      <c r="K171" s="34"/>
      <c r="L171" s="34"/>
    </row>
  </sheetData>
  <scenarios current="0" sqref="I50 N50 S48">
    <scenario name="Best_Case" locked="1" count="3" user="David Moore">
      <inputCells r="K32" val="0.07" numFmtId="165"/>
      <inputCells r="K33" val="0.61" numFmtId="165"/>
      <inputCells r="I44" val="0.035" numFmtId="165"/>
    </scenario>
    <scenario name="Base_case" locked="1" count="3" user="David Moore">
      <inputCells r="K32" val="0.045" numFmtId="165"/>
      <inputCells r="K33" val="0.624" numFmtId="165"/>
      <inputCells r="I44" val="0.015" numFmtId="165"/>
    </scenario>
    <scenario name="Worse_Case" locked="1" count="3" user="David Moore" comment="Created by David Moore on 10/21/2019">
      <inputCells r="K32" val="0.025" numFmtId="165"/>
      <inputCells r="K33" val="0.64" numFmtId="165"/>
      <inputCells r="I44" val="0.015" numFmtId="165"/>
    </scenario>
  </scenarios>
  <conditionalFormatting sqref="C146:C153">
    <cfRule type="colorScale" priority="5">
      <colorScale>
        <cfvo type="min"/>
        <cfvo type="percentile" val="50"/>
        <cfvo type="max"/>
        <color rgb="FF63BE7B"/>
        <color rgb="FFFFEB84"/>
        <color rgb="FFF8696B"/>
      </colorScale>
    </cfRule>
  </conditionalFormatting>
  <conditionalFormatting sqref="D145:L145">
    <cfRule type="colorScale" priority="3">
      <colorScale>
        <cfvo type="min"/>
        <cfvo type="percentile" val="50"/>
        <cfvo type="max"/>
        <color rgb="FF63BE7B"/>
        <color rgb="FFFFEB84"/>
        <color rgb="FFF8696B"/>
      </colorScale>
    </cfRule>
  </conditionalFormatting>
  <conditionalFormatting sqref="D146:L153">
    <cfRule type="colorScale" priority="1">
      <colorScale>
        <cfvo type="min"/>
        <cfvo type="percentile" val="50"/>
        <cfvo type="max"/>
        <color rgb="FF63BE7B"/>
        <color rgb="FFFFEB84"/>
        <color rgb="FFF8696B"/>
      </colorScale>
    </cfRule>
  </conditionalFormatting>
  <pageMargins left="0.7" right="0.7" top="0.75" bottom="0.75" header="0.3" footer="0.3"/>
  <pageSetup orientation="portrait" verticalDpi="9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FE39BD-E8D7-9B4C-8F56-9393B7C83C68}">
  <sheetPr codeName="Sheet11"/>
  <dimension ref="B2:D12"/>
  <sheetViews>
    <sheetView zoomScaleNormal="190" workbookViewId="0">
      <selection activeCell="D11" sqref="D11"/>
    </sheetView>
  </sheetViews>
  <sheetFormatPr baseColWidth="10" defaultColWidth="8.6640625" defaultRowHeight="13" x14ac:dyDescent="0.15"/>
  <cols>
    <col min="1" max="1" width="3.33203125" style="211" customWidth="1"/>
    <col min="2" max="2" width="42.6640625" style="211" bestFit="1" customWidth="1"/>
    <col min="3" max="3" width="39.33203125" style="211" customWidth="1"/>
    <col min="4" max="4" width="21.5" style="211" customWidth="1"/>
    <col min="5" max="16384" width="8.6640625" style="211"/>
  </cols>
  <sheetData>
    <row r="2" spans="2:4" x14ac:dyDescent="0.15">
      <c r="B2" s="220" t="s">
        <v>424</v>
      </c>
      <c r="C2" s="219" t="s">
        <v>423</v>
      </c>
    </row>
    <row r="3" spans="2:4" x14ac:dyDescent="0.15">
      <c r="B3" s="218"/>
    </row>
    <row r="4" spans="2:4" ht="14" x14ac:dyDescent="0.15">
      <c r="B4" s="217" t="s">
        <v>422</v>
      </c>
      <c r="C4" s="217" t="s">
        <v>421</v>
      </c>
    </row>
    <row r="5" spans="2:4" ht="270" customHeight="1" x14ac:dyDescent="0.15">
      <c r="B5" s="216" t="s">
        <v>420</v>
      </c>
      <c r="C5" s="212" t="s">
        <v>464</v>
      </c>
    </row>
    <row r="6" spans="2:4" ht="45" x14ac:dyDescent="0.15">
      <c r="B6" s="213" t="s">
        <v>419</v>
      </c>
      <c r="C6" s="212" t="s">
        <v>465</v>
      </c>
    </row>
    <row r="7" spans="2:4" ht="14" x14ac:dyDescent="0.15">
      <c r="B7" s="213" t="s">
        <v>418</v>
      </c>
      <c r="C7" s="213" t="s">
        <v>417</v>
      </c>
    </row>
    <row r="8" spans="2:4" ht="53" customHeight="1" x14ac:dyDescent="0.15">
      <c r="B8" s="213" t="s">
        <v>416</v>
      </c>
      <c r="C8" s="212" t="s">
        <v>466</v>
      </c>
    </row>
    <row r="9" spans="2:4" ht="213" customHeight="1" x14ac:dyDescent="0.15">
      <c r="B9" s="213" t="s">
        <v>415</v>
      </c>
      <c r="C9" s="215" t="s">
        <v>469</v>
      </c>
      <c r="D9" s="214"/>
    </row>
    <row r="10" spans="2:4" ht="145" customHeight="1" x14ac:dyDescent="0.15">
      <c r="B10" s="213" t="s">
        <v>414</v>
      </c>
      <c r="C10" s="212" t="s">
        <v>467</v>
      </c>
    </row>
    <row r="11" spans="2:4" ht="39" customHeight="1" x14ac:dyDescent="0.15">
      <c r="B11" s="213" t="s">
        <v>413</v>
      </c>
      <c r="C11" s="215" t="s">
        <v>468</v>
      </c>
    </row>
    <row r="12" spans="2:4" ht="216" customHeight="1" x14ac:dyDescent="0.15">
      <c r="B12" s="213" t="s">
        <v>412</v>
      </c>
      <c r="C12" s="212" t="s">
        <v>526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25C222-6AC3-9543-868A-7BA2A683EC87}">
  <sheetPr codeName="Sheet12"/>
  <dimension ref="B1:R24"/>
  <sheetViews>
    <sheetView zoomScale="115" zoomScaleNormal="145" workbookViewId="0">
      <pane xSplit="2" ySplit="2" topLeftCell="I3" activePane="bottomRight" state="frozen"/>
      <selection activeCell="C6" sqref="C6:C10"/>
      <selection pane="topRight" activeCell="C6" sqref="C6:C10"/>
      <selection pane="bottomLeft" activeCell="C6" sqref="C6:C10"/>
      <selection pane="bottomRight" activeCell="G17" sqref="G17"/>
    </sheetView>
  </sheetViews>
  <sheetFormatPr baseColWidth="10" defaultColWidth="8.6640625" defaultRowHeight="13" x14ac:dyDescent="0.15"/>
  <cols>
    <col min="1" max="1" width="3.33203125" style="211" customWidth="1"/>
    <col min="2" max="2" width="54.5" style="211" bestFit="1" customWidth="1"/>
    <col min="3" max="3" width="19.1640625" style="211" customWidth="1"/>
    <col min="4" max="4" width="46.33203125" style="211" customWidth="1"/>
    <col min="5" max="5" width="47" style="221" customWidth="1"/>
    <col min="6" max="6" width="9.6640625" style="211" bestFit="1" customWidth="1"/>
    <col min="7" max="7" width="19.83203125" style="211" bestFit="1" customWidth="1"/>
    <col min="8" max="8" width="22.1640625" style="211" bestFit="1" customWidth="1"/>
    <col min="9" max="9" width="19.33203125" style="211" bestFit="1" customWidth="1"/>
    <col min="10" max="10" width="24.5" style="211" bestFit="1" customWidth="1"/>
    <col min="11" max="11" width="33" style="211" bestFit="1" customWidth="1"/>
    <col min="12" max="12" width="27.33203125" style="211" bestFit="1" customWidth="1"/>
    <col min="13" max="13" width="24.5" style="211" bestFit="1" customWidth="1"/>
    <col min="14" max="14" width="29.6640625" style="211" bestFit="1" customWidth="1"/>
    <col min="15" max="15" width="23.5" style="211" bestFit="1" customWidth="1"/>
    <col min="16" max="16" width="22.5" style="211" bestFit="1" customWidth="1"/>
    <col min="17" max="17" width="34.83203125" style="211" bestFit="1" customWidth="1"/>
    <col min="18" max="18" width="10.83203125" style="211" bestFit="1" customWidth="1"/>
    <col min="19" max="16384" width="8.6640625" style="211"/>
  </cols>
  <sheetData>
    <row r="1" spans="2:18" ht="14" x14ac:dyDescent="0.15">
      <c r="B1" s="213"/>
      <c r="C1" s="213"/>
      <c r="D1" s="213"/>
      <c r="E1" s="224"/>
      <c r="F1" s="213"/>
      <c r="G1" s="213"/>
      <c r="H1" s="213"/>
      <c r="I1" s="213"/>
      <c r="J1" s="213"/>
      <c r="K1" s="213"/>
      <c r="L1" s="213"/>
      <c r="M1" s="213"/>
      <c r="N1" s="213"/>
      <c r="O1" s="213"/>
      <c r="P1" s="213"/>
    </row>
    <row r="2" spans="2:18" ht="14" x14ac:dyDescent="0.15">
      <c r="B2" s="227" t="s">
        <v>430</v>
      </c>
      <c r="C2" s="227" t="s">
        <v>194</v>
      </c>
      <c r="D2" s="227" t="s">
        <v>422</v>
      </c>
      <c r="E2" s="227" t="s">
        <v>431</v>
      </c>
      <c r="F2" s="227" t="s">
        <v>429</v>
      </c>
      <c r="G2" s="227" t="s">
        <v>428</v>
      </c>
      <c r="H2" s="227" t="s">
        <v>427</v>
      </c>
      <c r="I2" s="227" t="s">
        <v>426</v>
      </c>
      <c r="J2" s="227" t="s">
        <v>507</v>
      </c>
      <c r="K2" s="227" t="s">
        <v>425</v>
      </c>
      <c r="L2" s="227" t="s">
        <v>508</v>
      </c>
      <c r="M2" s="227" t="s">
        <v>509</v>
      </c>
      <c r="N2" s="227" t="s">
        <v>510</v>
      </c>
      <c r="O2" s="227" t="s">
        <v>511</v>
      </c>
      <c r="P2" s="227" t="s">
        <v>512</v>
      </c>
      <c r="Q2" s="227" t="s">
        <v>513</v>
      </c>
      <c r="R2" s="227" t="s">
        <v>514</v>
      </c>
    </row>
    <row r="3" spans="2:18" ht="14" x14ac:dyDescent="0.15">
      <c r="B3" s="281" t="s">
        <v>325</v>
      </c>
      <c r="C3" s="226" t="s">
        <v>328</v>
      </c>
      <c r="D3" s="213" t="s">
        <v>529</v>
      </c>
      <c r="E3" s="213" t="s">
        <v>491</v>
      </c>
      <c r="F3" s="213" t="s">
        <v>501</v>
      </c>
      <c r="G3" s="275">
        <v>0.51900000000000002</v>
      </c>
      <c r="H3" s="275">
        <v>0.376</v>
      </c>
      <c r="I3" s="275">
        <v>0.33100000000000002</v>
      </c>
      <c r="J3" s="276">
        <v>0.127</v>
      </c>
      <c r="K3" s="276">
        <v>-5.5599999999999997E-2</v>
      </c>
      <c r="L3" s="276">
        <v>-6.6199999999999995E-2</v>
      </c>
      <c r="M3" s="276">
        <v>-7.3999999999999996E-2</v>
      </c>
      <c r="N3" s="276">
        <v>1.1099000000000001</v>
      </c>
      <c r="O3" s="276">
        <v>0.57520000000000004</v>
      </c>
      <c r="P3" s="277">
        <v>2.9</v>
      </c>
      <c r="Q3" s="276">
        <v>-2.4899999999999999E-2</v>
      </c>
      <c r="R3" s="278">
        <v>0.46</v>
      </c>
    </row>
    <row r="4" spans="2:18" ht="14" x14ac:dyDescent="0.15">
      <c r="B4" s="282" t="s">
        <v>476</v>
      </c>
      <c r="C4" s="226" t="s">
        <v>477</v>
      </c>
      <c r="D4" s="213" t="s">
        <v>475</v>
      </c>
      <c r="E4" s="213" t="s">
        <v>492</v>
      </c>
      <c r="F4" s="213" t="s">
        <v>501</v>
      </c>
      <c r="G4" s="275">
        <v>0.59</v>
      </c>
      <c r="H4" s="275">
        <v>0.307</v>
      </c>
      <c r="I4" s="275">
        <v>0.28499999999999998</v>
      </c>
      <c r="J4" s="276">
        <v>0.21379999999999999</v>
      </c>
      <c r="K4" s="276">
        <v>-3.5000000000000003E-2</v>
      </c>
      <c r="L4" s="276">
        <v>1.2500000000000001E-2</v>
      </c>
      <c r="M4" s="276">
        <v>1.44E-2</v>
      </c>
      <c r="N4" s="276">
        <v>-0.1457</v>
      </c>
      <c r="O4" s="276">
        <v>0.40379999999999999</v>
      </c>
      <c r="P4" s="277">
        <v>2.1</v>
      </c>
      <c r="Q4" s="276">
        <v>2.0299999999999999E-2</v>
      </c>
      <c r="R4" s="278">
        <v>0.41</v>
      </c>
    </row>
    <row r="5" spans="2:18" ht="14" x14ac:dyDescent="0.15">
      <c r="B5" s="281" t="s">
        <v>478</v>
      </c>
      <c r="C5" s="226" t="s">
        <v>329</v>
      </c>
      <c r="D5" s="213" t="s">
        <v>528</v>
      </c>
      <c r="E5" s="213" t="s">
        <v>493</v>
      </c>
      <c r="F5" s="213" t="s">
        <v>501</v>
      </c>
      <c r="G5" s="275">
        <v>0.47699999999999998</v>
      </c>
      <c r="H5" s="275">
        <v>0.125</v>
      </c>
      <c r="I5" s="275">
        <v>0.08</v>
      </c>
      <c r="J5" s="276">
        <v>4.6600000000000003E-2</v>
      </c>
      <c r="K5" s="276">
        <v>-1.1299999999999999E-2</v>
      </c>
      <c r="L5" s="276">
        <v>9.1000000000000004E-3</v>
      </c>
      <c r="M5" s="276">
        <v>2.5100000000000001E-2</v>
      </c>
      <c r="N5" s="276">
        <v>0.1484</v>
      </c>
      <c r="O5" s="276">
        <v>4.2999999999999997E-2</v>
      </c>
      <c r="P5" s="277">
        <v>0.2</v>
      </c>
      <c r="Q5" s="276">
        <v>0.121</v>
      </c>
      <c r="R5" s="278">
        <v>1.06</v>
      </c>
    </row>
    <row r="6" spans="2:18" ht="15" customHeight="1" x14ac:dyDescent="0.15">
      <c r="B6" s="282" t="s">
        <v>485</v>
      </c>
      <c r="C6" s="226" t="s">
        <v>479</v>
      </c>
      <c r="D6" s="213" t="s">
        <v>475</v>
      </c>
      <c r="E6" s="213" t="s">
        <v>494</v>
      </c>
      <c r="F6" s="213" t="s">
        <v>501</v>
      </c>
      <c r="G6" s="275">
        <v>0.61599999999999999</v>
      </c>
      <c r="H6" s="275">
        <v>0.34200000000000003</v>
      </c>
      <c r="I6" s="275">
        <v>0.31900000000000001</v>
      </c>
      <c r="J6" s="276">
        <v>0.27339999999999998</v>
      </c>
      <c r="K6" s="276">
        <v>2.8000000000000001E-2</v>
      </c>
      <c r="L6" s="276">
        <v>0.1139</v>
      </c>
      <c r="M6" s="276">
        <v>0.12139999999999999</v>
      </c>
      <c r="N6" s="276">
        <v>0.25190000000000001</v>
      </c>
      <c r="O6" s="276">
        <v>0.59150000000000003</v>
      </c>
      <c r="P6" s="277">
        <v>2.9</v>
      </c>
      <c r="Q6" s="276">
        <v>6.5600000000000006E-2</v>
      </c>
      <c r="R6" s="278">
        <v>0.4</v>
      </c>
    </row>
    <row r="7" spans="2:18" ht="15" customHeight="1" x14ac:dyDescent="0.15">
      <c r="B7" s="281" t="s">
        <v>331</v>
      </c>
      <c r="C7" s="226" t="s">
        <v>332</v>
      </c>
      <c r="D7" s="213" t="s">
        <v>535</v>
      </c>
      <c r="E7" s="213" t="s">
        <v>495</v>
      </c>
      <c r="F7" s="213" t="s">
        <v>502</v>
      </c>
      <c r="G7" s="275">
        <v>0.45800000000000002</v>
      </c>
      <c r="H7" s="275">
        <v>0.191</v>
      </c>
      <c r="I7" s="275">
        <v>0.14000000000000001</v>
      </c>
      <c r="J7" s="276">
        <v>0.1089</v>
      </c>
      <c r="K7" s="276">
        <v>0.1</v>
      </c>
      <c r="L7" s="276">
        <v>0.1106</v>
      </c>
      <c r="M7" s="276">
        <v>0.106</v>
      </c>
      <c r="N7" s="279" t="s">
        <v>4</v>
      </c>
      <c r="O7" s="276">
        <v>0.72740000000000005</v>
      </c>
      <c r="P7" s="277">
        <v>4.5999999999999996</v>
      </c>
      <c r="Q7" s="276">
        <v>9.6600000000000005E-2</v>
      </c>
      <c r="R7" s="278">
        <v>0.5</v>
      </c>
    </row>
    <row r="8" spans="2:18" ht="15" customHeight="1" x14ac:dyDescent="0.15">
      <c r="B8" s="282" t="s">
        <v>486</v>
      </c>
      <c r="C8" s="226" t="s">
        <v>480</v>
      </c>
      <c r="D8" s="213" t="s">
        <v>475</v>
      </c>
      <c r="E8" s="213" t="s">
        <v>496</v>
      </c>
      <c r="F8" s="213" t="s">
        <v>503</v>
      </c>
      <c r="G8" s="275">
        <v>0.46700000000000003</v>
      </c>
      <c r="H8" s="275">
        <v>0.129</v>
      </c>
      <c r="I8" s="275">
        <v>8.6999999999999994E-2</v>
      </c>
      <c r="J8" s="276">
        <v>3.4099999999999998E-2</v>
      </c>
      <c r="K8" s="276">
        <v>4.7500000000000001E-2</v>
      </c>
      <c r="L8" s="276">
        <v>5.11E-2</v>
      </c>
      <c r="M8" s="276">
        <v>3.0099999999999998E-2</v>
      </c>
      <c r="N8" s="276">
        <v>-0.2432</v>
      </c>
      <c r="O8" s="276">
        <v>0.40129999999999999</v>
      </c>
      <c r="P8" s="277">
        <v>3.2</v>
      </c>
      <c r="Q8" s="276">
        <v>0.26540000000000002</v>
      </c>
      <c r="R8" s="278">
        <v>-0.04</v>
      </c>
    </row>
    <row r="9" spans="2:18" ht="15" customHeight="1" x14ac:dyDescent="0.15">
      <c r="B9" s="282" t="s">
        <v>487</v>
      </c>
      <c r="C9" s="226" t="s">
        <v>481</v>
      </c>
      <c r="D9" s="213" t="s">
        <v>475</v>
      </c>
      <c r="E9" s="213" t="s">
        <v>497</v>
      </c>
      <c r="F9" s="213" t="s">
        <v>504</v>
      </c>
      <c r="G9" s="275">
        <v>0.51800000000000002</v>
      </c>
      <c r="H9" s="275">
        <v>0.29699999999999999</v>
      </c>
      <c r="I9" s="275">
        <v>0.254</v>
      </c>
      <c r="J9" s="276">
        <v>0.17730000000000001</v>
      </c>
      <c r="K9" s="276">
        <v>9.7900000000000001E-2</v>
      </c>
      <c r="L9" s="276">
        <v>9.4500000000000001E-2</v>
      </c>
      <c r="M9" s="276">
        <v>0.1641</v>
      </c>
      <c r="N9" s="276">
        <v>0.15010000000000001</v>
      </c>
      <c r="O9" s="276">
        <v>3.0300000000000001E-2</v>
      </c>
      <c r="P9" s="277">
        <v>0.1</v>
      </c>
      <c r="Q9" s="276">
        <v>6.1400000000000003E-2</v>
      </c>
      <c r="R9" s="278">
        <v>0.27</v>
      </c>
    </row>
    <row r="10" spans="2:18" ht="15" customHeight="1" x14ac:dyDescent="0.15">
      <c r="B10" s="281" t="s">
        <v>488</v>
      </c>
      <c r="C10" s="226" t="s">
        <v>482</v>
      </c>
      <c r="D10" s="213" t="s">
        <v>475</v>
      </c>
      <c r="E10" s="213" t="s">
        <v>498</v>
      </c>
      <c r="F10" s="213" t="s">
        <v>503</v>
      </c>
      <c r="G10" s="275">
        <v>0.373</v>
      </c>
      <c r="H10" s="275">
        <v>0.13900000000000001</v>
      </c>
      <c r="I10" s="275">
        <v>8.5000000000000006E-2</v>
      </c>
      <c r="J10" s="276">
        <v>5.9700000000000003E-2</v>
      </c>
      <c r="K10" s="276">
        <v>8.6E-3</v>
      </c>
      <c r="L10" s="276">
        <v>-2.1899999999999999E-2</v>
      </c>
      <c r="M10" s="276">
        <v>-3.9100000000000003E-2</v>
      </c>
      <c r="N10" s="276">
        <v>-1.1999999999999999E-3</v>
      </c>
      <c r="O10" s="276">
        <v>0.35110000000000002</v>
      </c>
      <c r="P10" s="277">
        <v>3.6</v>
      </c>
      <c r="Q10" s="276">
        <v>0.10199999999999999</v>
      </c>
      <c r="R10" s="278">
        <v>0.2</v>
      </c>
    </row>
    <row r="11" spans="2:18" ht="15" customHeight="1" x14ac:dyDescent="0.15">
      <c r="B11" s="282" t="s">
        <v>489</v>
      </c>
      <c r="C11" s="226" t="s">
        <v>483</v>
      </c>
      <c r="D11" s="213" t="s">
        <v>475</v>
      </c>
      <c r="E11" s="213" t="s">
        <v>499</v>
      </c>
      <c r="F11" s="213" t="s">
        <v>505</v>
      </c>
      <c r="G11" s="275">
        <v>0.41699999999999998</v>
      </c>
      <c r="H11" s="275">
        <v>0.188</v>
      </c>
      <c r="I11" s="275">
        <v>0.155</v>
      </c>
      <c r="J11" s="276">
        <v>0.14219999999999999</v>
      </c>
      <c r="K11" s="276">
        <v>1.9699999999999999E-2</v>
      </c>
      <c r="L11" s="276">
        <v>0.1037</v>
      </c>
      <c r="M11" s="276">
        <v>0.12379999999999999</v>
      </c>
      <c r="N11" s="276">
        <v>6.4199999999999993E-2</v>
      </c>
      <c r="O11" s="276">
        <v>3.5000000000000001E-3</v>
      </c>
      <c r="P11" s="277">
        <v>0</v>
      </c>
      <c r="Q11" s="276">
        <v>5.91E-2</v>
      </c>
      <c r="R11" s="278">
        <v>0.73</v>
      </c>
    </row>
    <row r="12" spans="2:18" ht="15" customHeight="1" x14ac:dyDescent="0.15">
      <c r="B12" s="282" t="s">
        <v>490</v>
      </c>
      <c r="C12" s="226" t="s">
        <v>484</v>
      </c>
      <c r="D12" s="213" t="s">
        <v>475</v>
      </c>
      <c r="E12" s="213" t="s">
        <v>500</v>
      </c>
      <c r="F12" s="213" t="s">
        <v>506</v>
      </c>
      <c r="G12" s="275">
        <v>0.439</v>
      </c>
      <c r="H12" s="275">
        <v>0.20100000000000001</v>
      </c>
      <c r="I12" s="275">
        <v>0.14299999999999999</v>
      </c>
      <c r="J12" s="276">
        <v>0.14990000000000001</v>
      </c>
      <c r="K12" s="276">
        <v>6.9999999999999999E-4</v>
      </c>
      <c r="L12" s="276">
        <v>0.1318</v>
      </c>
      <c r="M12" s="276">
        <v>0.16370000000000001</v>
      </c>
      <c r="N12" s="276">
        <v>0.1179</v>
      </c>
      <c r="O12" s="276">
        <v>2.8299999999999999E-2</v>
      </c>
      <c r="P12" s="277">
        <v>0.1</v>
      </c>
      <c r="Q12" s="276">
        <v>0.1085</v>
      </c>
      <c r="R12" s="278">
        <v>0.52</v>
      </c>
    </row>
    <row r="13" spans="2:18" ht="15" customHeight="1" x14ac:dyDescent="0.15">
      <c r="B13" s="282" t="s">
        <v>524</v>
      </c>
      <c r="C13" s="226" t="s">
        <v>518</v>
      </c>
      <c r="D13" s="213" t="s">
        <v>527</v>
      </c>
      <c r="E13" s="280" t="s">
        <v>532</v>
      </c>
      <c r="F13" s="213" t="s">
        <v>521</v>
      </c>
      <c r="G13" s="275">
        <v>0.45</v>
      </c>
      <c r="H13" s="275">
        <v>0.123</v>
      </c>
      <c r="I13" s="275">
        <v>8.1000000000000003E-2</v>
      </c>
      <c r="J13" s="276">
        <v>4.4999999999999998E-2</v>
      </c>
      <c r="K13" s="276">
        <v>0.20530000000000001</v>
      </c>
      <c r="L13" s="276">
        <v>0.34239999999999998</v>
      </c>
      <c r="M13" s="276">
        <v>0.4919</v>
      </c>
      <c r="N13" s="276">
        <v>5.9799999999999999E-2</v>
      </c>
      <c r="O13" s="276">
        <v>0.4415</v>
      </c>
      <c r="P13" s="277">
        <v>3.3</v>
      </c>
      <c r="Q13" s="276">
        <v>0.10100000000000001</v>
      </c>
      <c r="R13" s="278">
        <v>0.2</v>
      </c>
    </row>
    <row r="14" spans="2:18" ht="15" customHeight="1" x14ac:dyDescent="0.15">
      <c r="B14" s="281" t="s">
        <v>324</v>
      </c>
      <c r="C14" s="226" t="s">
        <v>519</v>
      </c>
      <c r="D14" s="213" t="s">
        <v>531</v>
      </c>
      <c r="E14" s="225" t="s">
        <v>533</v>
      </c>
      <c r="F14" s="213" t="s">
        <v>522</v>
      </c>
      <c r="G14" s="275">
        <v>0.55900000000000005</v>
      </c>
      <c r="H14" s="275">
        <v>0.32300000000000001</v>
      </c>
      <c r="I14" s="275">
        <v>0.26300000000000001</v>
      </c>
      <c r="J14" s="276">
        <v>0.1041</v>
      </c>
      <c r="K14" s="276">
        <v>-1.34E-2</v>
      </c>
      <c r="L14" s="276">
        <v>2.6499999999999999E-2</v>
      </c>
      <c r="M14" s="276">
        <v>3.3300000000000003E-2</v>
      </c>
      <c r="N14" s="276">
        <v>-6.5600000000000006E-2</v>
      </c>
      <c r="O14" s="276">
        <v>0.45340000000000003</v>
      </c>
      <c r="P14" s="277">
        <v>3.9</v>
      </c>
      <c r="Q14" s="276">
        <v>8.5900000000000004E-2</v>
      </c>
      <c r="R14" s="278">
        <v>0.67</v>
      </c>
    </row>
    <row r="15" spans="2:18" ht="15" customHeight="1" x14ac:dyDescent="0.15">
      <c r="B15" s="281" t="s">
        <v>525</v>
      </c>
      <c r="C15" s="226" t="s">
        <v>520</v>
      </c>
      <c r="D15" s="213" t="s">
        <v>530</v>
      </c>
      <c r="E15" s="225" t="s">
        <v>534</v>
      </c>
      <c r="F15" s="213" t="s">
        <v>523</v>
      </c>
      <c r="G15" s="275">
        <v>0.36499999999999999</v>
      </c>
      <c r="H15" s="275">
        <v>0.2</v>
      </c>
      <c r="I15" s="275">
        <v>0.13600000000000001</v>
      </c>
      <c r="J15" s="276">
        <v>3.1699999999999999E-2</v>
      </c>
      <c r="K15" s="276">
        <v>-4.8399999999999999E-2</v>
      </c>
      <c r="L15" s="276">
        <v>2.4199999999999999E-2</v>
      </c>
      <c r="M15" s="276">
        <v>1.5599999999999999E-2</v>
      </c>
      <c r="N15" s="276">
        <v>0.72440000000000004</v>
      </c>
      <c r="O15" s="276">
        <v>0.46889999999999998</v>
      </c>
      <c r="P15" s="277">
        <v>2.9</v>
      </c>
      <c r="Q15" s="279" t="s">
        <v>4</v>
      </c>
      <c r="R15" s="278">
        <v>0.52</v>
      </c>
    </row>
    <row r="16" spans="2:18" ht="15" customHeight="1" x14ac:dyDescent="0.15">
      <c r="B16" s="223"/>
      <c r="C16" s="226"/>
      <c r="D16" s="213"/>
      <c r="E16" s="225"/>
      <c r="F16" s="213"/>
      <c r="G16" s="222"/>
      <c r="H16" s="222"/>
      <c r="I16" s="222"/>
      <c r="J16" s="222"/>
      <c r="K16" s="222"/>
      <c r="L16" s="222"/>
      <c r="M16" s="222"/>
      <c r="N16" s="222"/>
      <c r="O16" s="222"/>
      <c r="P16" s="222"/>
    </row>
    <row r="17" spans="2:18" ht="15" customHeight="1" x14ac:dyDescent="0.15">
      <c r="B17" s="223" t="s">
        <v>515</v>
      </c>
      <c r="C17" s="226" t="s">
        <v>272</v>
      </c>
      <c r="D17" s="213" t="s">
        <v>517</v>
      </c>
      <c r="E17" s="280" t="s">
        <v>516</v>
      </c>
      <c r="F17" s="213" t="s">
        <v>501</v>
      </c>
      <c r="G17" s="223">
        <v>0.38700000000000001</v>
      </c>
      <c r="H17" s="223">
        <v>0.215</v>
      </c>
      <c r="I17" s="223">
        <v>0.156</v>
      </c>
      <c r="J17" s="223">
        <v>-0.18640000000000001</v>
      </c>
      <c r="K17" s="223">
        <v>-4.0099999999999997E-2</v>
      </c>
      <c r="L17" s="223">
        <v>-3.0000000000000001E-3</v>
      </c>
      <c r="M17" s="223">
        <v>7.6E-3</v>
      </c>
      <c r="N17" s="223" t="s">
        <v>4</v>
      </c>
      <c r="O17" s="223">
        <v>0.37890000000000001</v>
      </c>
      <c r="P17" s="223">
        <v>2.6</v>
      </c>
      <c r="Q17" s="223">
        <v>-2.1600000000000001E-2</v>
      </c>
      <c r="R17" s="223">
        <v>0.45</v>
      </c>
    </row>
    <row r="18" spans="2:18" ht="15" customHeight="1" x14ac:dyDescent="0.15">
      <c r="B18" s="223"/>
      <c r="C18" s="226"/>
      <c r="D18" s="213"/>
      <c r="E18" s="225"/>
      <c r="F18" s="213"/>
      <c r="G18" s="222"/>
      <c r="H18" s="222"/>
      <c r="I18" s="222"/>
      <c r="J18" s="222"/>
      <c r="K18" s="222"/>
      <c r="L18" s="222"/>
      <c r="M18" s="222"/>
      <c r="N18" s="222"/>
      <c r="O18" s="222"/>
      <c r="P18" s="222"/>
    </row>
    <row r="19" spans="2:18" ht="15" customHeight="1" x14ac:dyDescent="0.15">
      <c r="B19" s="223"/>
      <c r="C19" s="226"/>
      <c r="D19" s="213"/>
      <c r="E19" s="225"/>
      <c r="F19" s="213"/>
      <c r="G19" s="222"/>
      <c r="H19" s="222"/>
      <c r="I19" s="222"/>
      <c r="J19" s="222"/>
      <c r="K19" s="222"/>
      <c r="L19" s="222"/>
      <c r="M19" s="222"/>
      <c r="N19" s="222"/>
      <c r="O19" s="222"/>
      <c r="P19" s="222"/>
    </row>
    <row r="20" spans="2:18" ht="15" customHeight="1" x14ac:dyDescent="0.15">
      <c r="B20" s="223"/>
      <c r="C20" s="226"/>
      <c r="D20" s="213"/>
      <c r="E20" s="225"/>
      <c r="F20" s="213"/>
      <c r="G20" s="222"/>
      <c r="H20" s="222"/>
      <c r="I20" s="222"/>
      <c r="J20" s="222"/>
      <c r="K20" s="222"/>
      <c r="L20" s="222"/>
      <c r="M20" s="222"/>
      <c r="N20" s="222"/>
      <c r="O20" s="222"/>
      <c r="P20" s="222"/>
    </row>
    <row r="21" spans="2:18" ht="15" customHeight="1" x14ac:dyDescent="0.15">
      <c r="B21" s="223"/>
      <c r="C21" s="226"/>
      <c r="D21" s="213"/>
      <c r="E21" s="225"/>
      <c r="F21" s="213"/>
      <c r="G21" s="222"/>
      <c r="H21" s="222"/>
      <c r="I21" s="222"/>
      <c r="J21" s="222"/>
      <c r="K21" s="222"/>
      <c r="L21" s="222"/>
      <c r="M21" s="222"/>
      <c r="N21" s="222"/>
      <c r="O21" s="222"/>
      <c r="P21" s="222"/>
    </row>
    <row r="22" spans="2:18" ht="14" x14ac:dyDescent="0.15">
      <c r="B22" s="213"/>
      <c r="C22" s="213"/>
      <c r="D22" s="213"/>
      <c r="E22" s="213"/>
      <c r="F22" s="213"/>
      <c r="G22" s="223"/>
      <c r="H22" s="223"/>
      <c r="I22" s="223"/>
      <c r="J22" s="223"/>
      <c r="K22" s="223"/>
      <c r="L22" s="223"/>
      <c r="M22" s="223"/>
      <c r="N22" s="223"/>
      <c r="O22" s="223"/>
      <c r="P22" s="223"/>
    </row>
    <row r="23" spans="2:18" ht="14" x14ac:dyDescent="0.15">
      <c r="B23" s="213"/>
      <c r="C23" s="213"/>
      <c r="D23" s="213"/>
      <c r="E23" s="225"/>
      <c r="F23" s="213"/>
      <c r="G23" s="222"/>
      <c r="H23" s="222"/>
      <c r="I23" s="222"/>
      <c r="J23" s="222"/>
      <c r="K23" s="222"/>
      <c r="L23" s="222"/>
      <c r="M23" s="222"/>
      <c r="N23" s="222"/>
      <c r="O23" s="222"/>
      <c r="P23" s="222"/>
    </row>
    <row r="24" spans="2:18" ht="14" x14ac:dyDescent="0.15">
      <c r="B24" s="213"/>
      <c r="C24" s="213"/>
      <c r="D24" s="213"/>
      <c r="E24" s="224"/>
      <c r="F24" s="213"/>
      <c r="G24" s="223"/>
      <c r="H24" s="223"/>
      <c r="I24" s="223"/>
      <c r="J24" s="223"/>
      <c r="K24" s="223"/>
      <c r="L24" s="223"/>
      <c r="M24" s="223"/>
      <c r="N24" s="223"/>
      <c r="O24" s="222"/>
      <c r="P24" s="222"/>
    </row>
  </sheetData>
  <conditionalFormatting sqref="G3:G16 G18:G21">
    <cfRule type="colorScale" priority="11">
      <colorScale>
        <cfvo type="formula" val="$G$23-STDEV($G$3:$G$21)"/>
        <cfvo type="num" val="$G$23"/>
        <cfvo type="formula" val="$G$23+STDEV($G$3:$G$21)"/>
        <color rgb="FFFF6D6D"/>
        <color rgb="FF00B050"/>
        <color rgb="FFFF6D6D"/>
      </colorScale>
    </cfRule>
  </conditionalFormatting>
  <conditionalFormatting sqref="H3:H16 H18:H21">
    <cfRule type="colorScale" priority="13">
      <colorScale>
        <cfvo type="formula" val="$H$23-STDEV($H$3:$H$21)"/>
        <cfvo type="num" val="$H$23"/>
        <cfvo type="formula" val="$H$23+STDEV($H$3:$H$21)"/>
        <color rgb="FFFF6D6D"/>
        <color rgb="FF00B050"/>
        <color rgb="FFFF6D6D"/>
      </colorScale>
    </cfRule>
  </conditionalFormatting>
  <conditionalFormatting sqref="I3:I16 I18:I21">
    <cfRule type="colorScale" priority="15">
      <colorScale>
        <cfvo type="formula" val="$I$23-STDEV($I$3:$I$21)"/>
        <cfvo type="num" val="$I$23"/>
        <cfvo type="formula" val="$I$23+STDEV($I$3:$I$21)"/>
        <color rgb="FFFF6D6D"/>
        <color rgb="FF00B050"/>
        <color rgb="FFFF6D6D"/>
      </colorScale>
    </cfRule>
  </conditionalFormatting>
  <conditionalFormatting sqref="J3:J16 J18:J21">
    <cfRule type="colorScale" priority="17">
      <colorScale>
        <cfvo type="formula" val="$J$23-STDEV($J$3:$J$21)"/>
        <cfvo type="num" val="$J$23"/>
        <cfvo type="formula" val="$J$23+STDEV($J$3:$J$21)"/>
        <color rgb="FFFF6D6D"/>
        <color rgb="FF00B050"/>
        <color rgb="FFFF6D6D"/>
      </colorScale>
    </cfRule>
  </conditionalFormatting>
  <conditionalFormatting sqref="K3:K16 K18:K21">
    <cfRule type="colorScale" priority="19">
      <colorScale>
        <cfvo type="formula" val="$K$23-STDEV($K$3:$K$21)"/>
        <cfvo type="num" val="$K$23"/>
        <cfvo type="formula" val="$K$23+STDEV($K$3:$K$21)"/>
        <color rgb="FFFF6D6D"/>
        <color rgb="FF00B050"/>
        <color rgb="FFFF6D6D"/>
      </colorScale>
    </cfRule>
  </conditionalFormatting>
  <conditionalFormatting sqref="L3:L16 L18:L21">
    <cfRule type="colorScale" priority="21">
      <colorScale>
        <cfvo type="formula" val="$L$23-STDEV($L$3:$L$21)"/>
        <cfvo type="num" val="$L$23"/>
        <cfvo type="formula" val="$L$23+STDEV($L$3:$L$21)"/>
        <color rgb="FFFF6D6D"/>
        <color rgb="FF00B050"/>
        <color rgb="FFFF6D6D"/>
      </colorScale>
    </cfRule>
  </conditionalFormatting>
  <conditionalFormatting sqref="M3:M16 M18:M21">
    <cfRule type="colorScale" priority="23">
      <colorScale>
        <cfvo type="formula" val="$M$23-STDEV($M$3:$M$21)"/>
        <cfvo type="num" val="$M$23"/>
        <cfvo type="formula" val="$M$23+STDEV($M$3:$M$21)"/>
        <color rgb="FFFF6D6D"/>
        <color rgb="FF00B050"/>
        <color rgb="FFFF6D6D"/>
      </colorScale>
    </cfRule>
  </conditionalFormatting>
  <conditionalFormatting sqref="N3:N16 N18:N21">
    <cfRule type="colorScale" priority="25">
      <colorScale>
        <cfvo type="formula" val="$N$23-STDEV($N$3:$N$21)"/>
        <cfvo type="num" val="$N$23"/>
        <cfvo type="formula" val="$N$23+STDEV($N$3:$N$21)"/>
        <color rgb="FFFF6D6D"/>
        <color rgb="FF00B050"/>
        <color rgb="FFFF6D6D"/>
      </colorScale>
    </cfRule>
  </conditionalFormatting>
  <conditionalFormatting sqref="O3:O16 O18:O21">
    <cfRule type="colorScale" priority="27">
      <colorScale>
        <cfvo type="formula" val="$O$23-STDEV($O$3:$O$21)"/>
        <cfvo type="num" val="$O$23"/>
        <cfvo type="formula" val="$O$23+STDEV($O$3:$O$21)"/>
        <color rgb="FFFF6D6D"/>
        <color rgb="FF00B050"/>
        <color rgb="FFFF6D6D"/>
      </colorScale>
    </cfRule>
  </conditionalFormatting>
  <conditionalFormatting sqref="P3:P16 P18:P21">
    <cfRule type="colorScale" priority="29">
      <colorScale>
        <cfvo type="formula" val="$P$23-STDEV($P$3:$P$21)"/>
        <cfvo type="num" val="$P$23"/>
        <cfvo type="formula" val="$P$23+STDEV($P$3:$P$21)"/>
        <color rgb="FFFF6D6D"/>
        <color rgb="FF00B050"/>
        <color rgb="FFFF6D6D"/>
      </colorScale>
    </cfRule>
  </conditionalFormatting>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4E577E-C1BB-EA49-B842-BDA3F5793C5A}">
  <sheetPr codeName="Sheet1"/>
  <dimension ref="B2:P47"/>
  <sheetViews>
    <sheetView showGridLines="0" topLeftCell="A13" zoomScale="85" zoomScaleNormal="100" workbookViewId="0">
      <selection activeCell="H11" sqref="H11"/>
    </sheetView>
  </sheetViews>
  <sheetFormatPr baseColWidth="10" defaultColWidth="9.33203125" defaultRowHeight="15" outlineLevelCol="1" x14ac:dyDescent="0.2"/>
  <cols>
    <col min="1" max="1" width="3.33203125" style="228" customWidth="1"/>
    <col min="2" max="2" width="33.6640625" style="228" customWidth="1"/>
    <col min="3" max="3" width="11.6640625" style="228" customWidth="1"/>
    <col min="4" max="4" width="11.5" style="228" bestFit="1" customWidth="1"/>
    <col min="5" max="5" width="14.6640625" style="228" bestFit="1" customWidth="1"/>
    <col min="6" max="6" width="14.5" style="228" bestFit="1" customWidth="1"/>
    <col min="7" max="7" width="15.33203125" style="228" bestFit="1" customWidth="1"/>
    <col min="8" max="9" width="11.5" style="228" customWidth="1"/>
    <col min="10" max="10" width="13.5" style="228" customWidth="1"/>
    <col min="11" max="11" width="9.33203125" style="228" customWidth="1" outlineLevel="1"/>
    <col min="12" max="12" width="13.1640625" style="228" customWidth="1" outlineLevel="1"/>
    <col min="13" max="13" width="12.5" style="228" customWidth="1" outlineLevel="1"/>
    <col min="14" max="14" width="15.83203125" style="228" customWidth="1"/>
    <col min="15" max="15" width="9.33203125" style="228"/>
    <col min="16" max="16" width="17.33203125" style="228" customWidth="1"/>
    <col min="17" max="16384" width="9.33203125" style="228"/>
  </cols>
  <sheetData>
    <row r="2" spans="2:16" ht="25" x14ac:dyDescent="0.25">
      <c r="B2" s="270" t="s">
        <v>537</v>
      </c>
      <c r="C2" s="270"/>
      <c r="D2" s="232"/>
      <c r="E2" s="232"/>
      <c r="F2" s="232"/>
      <c r="G2" s="232"/>
      <c r="H2" s="232"/>
      <c r="I2" s="232"/>
      <c r="J2" s="232"/>
      <c r="K2" s="232"/>
      <c r="L2" s="232"/>
    </row>
    <row r="3" spans="2:16" x14ac:dyDescent="0.2">
      <c r="B3" s="269" t="s">
        <v>342</v>
      </c>
      <c r="C3" s="269"/>
      <c r="D3" s="232"/>
      <c r="E3" s="232"/>
      <c r="F3" s="232"/>
      <c r="G3" s="232"/>
      <c r="H3" s="232"/>
      <c r="I3" s="232"/>
      <c r="J3" s="232"/>
      <c r="K3" s="232"/>
      <c r="L3" s="232"/>
    </row>
    <row r="4" spans="2:16" x14ac:dyDescent="0.2">
      <c r="B4" s="268" t="s">
        <v>463</v>
      </c>
      <c r="C4" s="267">
        <v>46022</v>
      </c>
      <c r="D4" s="259"/>
      <c r="E4" s="259"/>
      <c r="F4" s="259"/>
      <c r="G4" s="259"/>
      <c r="H4" s="259"/>
      <c r="I4" s="259"/>
      <c r="J4" s="259"/>
      <c r="K4" s="259"/>
      <c r="L4" s="259"/>
    </row>
    <row r="5" spans="2:16" x14ac:dyDescent="0.2">
      <c r="B5" s="266" t="s">
        <v>194</v>
      </c>
      <c r="C5" s="273" t="s">
        <v>272</v>
      </c>
      <c r="D5" s="259"/>
      <c r="E5" s="259"/>
      <c r="F5" s="259"/>
      <c r="G5" s="259"/>
      <c r="H5" s="259"/>
      <c r="I5" s="259"/>
      <c r="J5" s="259"/>
      <c r="K5" s="259"/>
      <c r="L5" s="259"/>
    </row>
    <row r="6" spans="2:16" x14ac:dyDescent="0.2">
      <c r="B6" s="266" t="s">
        <v>462</v>
      </c>
      <c r="C6" s="265">
        <v>45978</v>
      </c>
      <c r="D6" s="259"/>
      <c r="E6" s="259"/>
      <c r="F6" s="259"/>
      <c r="G6" s="259"/>
      <c r="H6" s="259"/>
      <c r="I6" s="259"/>
      <c r="J6" s="259"/>
      <c r="K6" s="259"/>
      <c r="L6" s="259"/>
    </row>
    <row r="7" spans="2:16" ht="16" x14ac:dyDescent="0.2">
      <c r="B7" s="264" t="s">
        <v>270</v>
      </c>
      <c r="C7" s="263" t="s">
        <v>271</v>
      </c>
      <c r="D7" s="259"/>
      <c r="E7" s="259"/>
      <c r="F7" s="259"/>
      <c r="G7" s="259"/>
      <c r="H7" s="262" t="s">
        <v>461</v>
      </c>
      <c r="I7" s="262"/>
      <c r="J7" s="262"/>
      <c r="K7" s="259"/>
      <c r="N7" s="261" t="s">
        <v>460</v>
      </c>
      <c r="O7" s="260"/>
      <c r="P7" s="260"/>
    </row>
    <row r="8" spans="2:16" x14ac:dyDescent="0.2">
      <c r="B8" s="232"/>
      <c r="C8" s="232"/>
      <c r="D8" s="259"/>
      <c r="E8" s="259"/>
      <c r="F8" s="259" t="s">
        <v>459</v>
      </c>
      <c r="G8" s="259" t="s">
        <v>458</v>
      </c>
      <c r="H8" s="259"/>
      <c r="I8" s="259"/>
      <c r="J8" s="259"/>
      <c r="K8" s="259" t="s">
        <v>455</v>
      </c>
      <c r="L8" s="259" t="s">
        <v>457</v>
      </c>
      <c r="M8" s="259" t="s">
        <v>456</v>
      </c>
      <c r="N8" s="303" t="s">
        <v>455</v>
      </c>
      <c r="O8" s="303" t="s">
        <v>455</v>
      </c>
      <c r="P8" s="303" t="s">
        <v>454</v>
      </c>
    </row>
    <row r="9" spans="2:16" ht="16" thickBot="1" x14ac:dyDescent="0.25">
      <c r="B9" s="258" t="s">
        <v>195</v>
      </c>
      <c r="C9" s="258" t="s">
        <v>194</v>
      </c>
      <c r="D9" s="257" t="s">
        <v>214</v>
      </c>
      <c r="E9" s="256"/>
      <c r="F9" s="256" t="s">
        <v>453</v>
      </c>
      <c r="G9" s="256" t="s">
        <v>452</v>
      </c>
      <c r="H9" s="302" t="s">
        <v>451</v>
      </c>
      <c r="I9" s="302" t="s">
        <v>450</v>
      </c>
      <c r="J9" s="302" t="s">
        <v>449</v>
      </c>
      <c r="K9" s="256" t="s">
        <v>448</v>
      </c>
      <c r="L9" s="256" t="s">
        <v>447</v>
      </c>
      <c r="M9" s="256" t="s">
        <v>192</v>
      </c>
      <c r="N9" s="302" t="s">
        <v>446</v>
      </c>
      <c r="O9" s="302" t="s">
        <v>445</v>
      </c>
      <c r="P9" s="302" t="s">
        <v>444</v>
      </c>
    </row>
    <row r="10" spans="2:16" x14ac:dyDescent="0.2">
      <c r="B10" s="233" t="s">
        <v>536</v>
      </c>
      <c r="C10" s="233" t="s">
        <v>272</v>
      </c>
      <c r="D10" s="251">
        <v>46.51</v>
      </c>
      <c r="E10" s="283"/>
      <c r="F10" s="249">
        <v>9189.4</v>
      </c>
      <c r="G10" s="249">
        <v>15021.9</v>
      </c>
      <c r="H10" s="284">
        <v>1.3</v>
      </c>
      <c r="I10" s="284">
        <v>8.6</v>
      </c>
      <c r="J10" s="284">
        <v>6</v>
      </c>
      <c r="K10" s="251">
        <v>5.52</v>
      </c>
      <c r="L10" s="250">
        <v>9.7999999999999997E-3</v>
      </c>
      <c r="M10" s="249">
        <v>13452.7</v>
      </c>
      <c r="N10" s="284">
        <f>D10/K10</f>
        <v>8.4257246376811601</v>
      </c>
      <c r="O10" s="248">
        <f>D10/(K10*L10*100)</f>
        <v>8.5976782017154694</v>
      </c>
      <c r="P10" s="248">
        <f>F10/M10</f>
        <v>0.68308963999791861</v>
      </c>
    </row>
    <row r="11" spans="2:16" x14ac:dyDescent="0.2">
      <c r="B11" s="233"/>
      <c r="C11" s="233"/>
      <c r="D11" s="251"/>
      <c r="E11" s="283"/>
      <c r="F11" s="249"/>
      <c r="G11" s="283"/>
      <c r="H11" s="284"/>
      <c r="I11" s="285"/>
      <c r="J11" s="285"/>
      <c r="K11" s="251"/>
      <c r="L11" s="250"/>
      <c r="M11" s="253"/>
      <c r="N11" s="248"/>
      <c r="O11" s="248"/>
      <c r="P11" s="248"/>
    </row>
    <row r="12" spans="2:16" x14ac:dyDescent="0.2">
      <c r="B12" s="223" t="s">
        <v>325</v>
      </c>
      <c r="C12" s="255" t="s">
        <v>328</v>
      </c>
      <c r="D12" s="251">
        <v>136.38</v>
      </c>
      <c r="E12" s="254"/>
      <c r="F12" s="253">
        <v>23735.5</v>
      </c>
      <c r="G12" s="253">
        <v>34494.300000000003</v>
      </c>
      <c r="H12" s="284">
        <v>3.6</v>
      </c>
      <c r="I12" s="284">
        <v>13.4</v>
      </c>
      <c r="J12" s="284">
        <v>11.5</v>
      </c>
      <c r="K12" s="246">
        <v>11.87</v>
      </c>
      <c r="L12" s="250">
        <v>9.7000000000000003E-3</v>
      </c>
      <c r="M12" s="253">
        <v>7134.8</v>
      </c>
      <c r="N12" s="284">
        <f t="shared" ref="N12:N17" si="0">D12/K12</f>
        <v>11.489469250210615</v>
      </c>
      <c r="O12" s="248">
        <f t="shared" ref="O12:O17" si="1">D12/(K12*L12*100)</f>
        <v>11.844813660010944</v>
      </c>
      <c r="P12" s="248">
        <f t="shared" ref="P12:P17" si="2">F12/M12</f>
        <v>3.3267225430285361</v>
      </c>
    </row>
    <row r="13" spans="2:16" x14ac:dyDescent="0.2">
      <c r="B13" s="223" t="s">
        <v>331</v>
      </c>
      <c r="C13" s="226" t="s">
        <v>332</v>
      </c>
      <c r="D13" s="251">
        <v>799.6</v>
      </c>
      <c r="E13" s="254"/>
      <c r="F13" s="253">
        <v>17027</v>
      </c>
      <c r="G13" s="253">
        <v>27569.8</v>
      </c>
      <c r="H13" s="284">
        <v>2.2000000000000002</v>
      </c>
      <c r="I13" s="284">
        <v>14.5</v>
      </c>
      <c r="J13" s="284">
        <v>10.5</v>
      </c>
      <c r="K13" s="246">
        <v>9.43</v>
      </c>
      <c r="L13" s="250">
        <v>7.4700000000000003E-2</v>
      </c>
      <c r="M13" s="253">
        <v>4764.3999999999996</v>
      </c>
      <c r="N13" s="284">
        <f t="shared" si="0"/>
        <v>84.793213149522799</v>
      </c>
      <c r="O13" s="248">
        <f t="shared" si="1"/>
        <v>11.351166418945489</v>
      </c>
      <c r="P13" s="248">
        <f t="shared" si="2"/>
        <v>3.5737973301989761</v>
      </c>
    </row>
    <row r="14" spans="2:16" x14ac:dyDescent="0.2">
      <c r="B14" s="223" t="s">
        <v>488</v>
      </c>
      <c r="C14" s="226" t="s">
        <v>482</v>
      </c>
      <c r="D14" s="251">
        <v>12</v>
      </c>
      <c r="E14" s="254"/>
      <c r="F14" s="253">
        <v>17219.599999999999</v>
      </c>
      <c r="G14" s="253">
        <v>26116.3</v>
      </c>
      <c r="H14" s="284">
        <v>1.4</v>
      </c>
      <c r="I14" s="284">
        <v>16.3</v>
      </c>
      <c r="J14" s="284">
        <v>10</v>
      </c>
      <c r="K14" s="246">
        <v>0.77</v>
      </c>
      <c r="L14" s="250">
        <v>7.2499999999999995E-2</v>
      </c>
      <c r="M14" s="253">
        <v>17221.3</v>
      </c>
      <c r="N14" s="284">
        <f t="shared" si="0"/>
        <v>15.584415584415584</v>
      </c>
      <c r="O14" s="248">
        <f t="shared" si="1"/>
        <v>2.1495745633676671</v>
      </c>
      <c r="P14" s="248">
        <f t="shared" si="2"/>
        <v>0.99990128503655351</v>
      </c>
    </row>
    <row r="15" spans="2:16" x14ac:dyDescent="0.2">
      <c r="B15" s="223" t="s">
        <v>324</v>
      </c>
      <c r="C15" s="226" t="s">
        <v>519</v>
      </c>
      <c r="D15" s="251">
        <v>53.02</v>
      </c>
      <c r="E15" s="254"/>
      <c r="F15" s="253">
        <v>120047.6</v>
      </c>
      <c r="G15" s="253">
        <v>200378.8</v>
      </c>
      <c r="H15" s="284">
        <v>3.5</v>
      </c>
      <c r="I15" s="284">
        <v>12.8</v>
      </c>
      <c r="J15" s="284">
        <v>10.1</v>
      </c>
      <c r="K15" s="246">
        <v>4.08</v>
      </c>
      <c r="L15" s="250">
        <v>8.8000000000000005E-3</v>
      </c>
      <c r="M15" s="253">
        <v>88700</v>
      </c>
      <c r="N15" s="284">
        <f t="shared" si="0"/>
        <v>12.995098039215687</v>
      </c>
      <c r="O15" s="248">
        <f t="shared" si="1"/>
        <v>14.767156862745097</v>
      </c>
      <c r="P15" s="248">
        <f t="shared" si="2"/>
        <v>1.3534114994363022</v>
      </c>
    </row>
    <row r="16" spans="2:16" x14ac:dyDescent="0.2">
      <c r="B16" s="223" t="s">
        <v>525</v>
      </c>
      <c r="C16" s="226" t="s">
        <v>520</v>
      </c>
      <c r="D16" s="251">
        <v>61.55</v>
      </c>
      <c r="E16" s="254"/>
      <c r="F16" s="253">
        <v>45901.3</v>
      </c>
      <c r="G16" s="253">
        <v>51379.4</v>
      </c>
      <c r="H16" s="284">
        <v>1.5</v>
      </c>
      <c r="I16" s="284">
        <v>10.7</v>
      </c>
      <c r="J16" s="284">
        <v>7</v>
      </c>
      <c r="K16" s="246">
        <v>5.83</v>
      </c>
      <c r="L16" s="250">
        <v>1.61E-2</v>
      </c>
      <c r="M16" s="253">
        <v>25696.3</v>
      </c>
      <c r="N16" s="284">
        <f t="shared" si="0"/>
        <v>10.55746140651801</v>
      </c>
      <c r="O16" s="248">
        <f t="shared" si="1"/>
        <v>6.5574294450422421</v>
      </c>
      <c r="P16" s="248">
        <f t="shared" si="2"/>
        <v>1.7862999731478852</v>
      </c>
    </row>
    <row r="17" spans="2:16" x14ac:dyDescent="0.2">
      <c r="B17" s="223" t="s">
        <v>478</v>
      </c>
      <c r="C17" s="232" t="s">
        <v>329</v>
      </c>
      <c r="D17" s="251">
        <v>194.8</v>
      </c>
      <c r="E17" s="254"/>
      <c r="F17" s="249">
        <v>2031.6</v>
      </c>
      <c r="G17" s="249">
        <v>1822.1</v>
      </c>
      <c r="H17" s="284">
        <v>0.9</v>
      </c>
      <c r="I17" s="284">
        <v>11.7</v>
      </c>
      <c r="J17" s="284">
        <v>7.1</v>
      </c>
      <c r="K17" s="251">
        <v>10.56</v>
      </c>
      <c r="L17" s="250">
        <v>4.2500000000000003E-2</v>
      </c>
      <c r="M17" s="253">
        <v>916.2</v>
      </c>
      <c r="N17" s="284">
        <f t="shared" si="0"/>
        <v>18.446969696969695</v>
      </c>
      <c r="O17" s="248">
        <f t="shared" si="1"/>
        <v>4.3404634581105173</v>
      </c>
      <c r="P17" s="248">
        <f t="shared" si="2"/>
        <v>2.2174197773411919</v>
      </c>
    </row>
    <row r="18" spans="2:16" x14ac:dyDescent="0.2">
      <c r="B18" s="247"/>
      <c r="C18" s="232"/>
      <c r="D18" s="246"/>
      <c r="E18" s="237"/>
      <c r="F18" s="253"/>
      <c r="G18" s="230"/>
      <c r="H18" s="248"/>
      <c r="I18" s="248"/>
      <c r="J18" s="248"/>
      <c r="K18" s="246"/>
      <c r="L18" s="250"/>
      <c r="M18" s="253"/>
      <c r="N18" s="248"/>
      <c r="O18" s="248"/>
      <c r="P18" s="283"/>
    </row>
    <row r="19" spans="2:16" x14ac:dyDescent="0.2">
      <c r="B19" s="247"/>
      <c r="C19" s="232"/>
      <c r="D19" s="246"/>
      <c r="E19" s="237"/>
      <c r="F19" s="253"/>
      <c r="G19" s="230"/>
      <c r="H19" s="248"/>
      <c r="I19" s="248"/>
      <c r="J19" s="248"/>
      <c r="K19" s="246"/>
      <c r="L19" s="250"/>
      <c r="M19" s="253"/>
      <c r="N19" s="248"/>
      <c r="O19" s="248"/>
      <c r="P19" s="248"/>
    </row>
    <row r="20" spans="2:16" x14ac:dyDescent="0.2">
      <c r="B20" s="247"/>
      <c r="C20" s="232"/>
      <c r="D20" s="246"/>
      <c r="E20" s="237"/>
      <c r="F20" s="253"/>
      <c r="G20" s="230"/>
      <c r="H20" s="248"/>
      <c r="I20" s="248"/>
      <c r="J20" s="248"/>
      <c r="K20" s="246"/>
      <c r="L20" s="250"/>
      <c r="M20" s="253"/>
      <c r="N20" s="248"/>
      <c r="O20" s="248"/>
      <c r="P20" s="248"/>
    </row>
    <row r="21" spans="2:16" x14ac:dyDescent="0.2">
      <c r="B21" s="247"/>
      <c r="C21" s="232"/>
      <c r="D21" s="246"/>
      <c r="E21" s="237"/>
      <c r="F21" s="253"/>
      <c r="G21" s="230"/>
      <c r="H21" s="248"/>
      <c r="I21" s="248"/>
      <c r="J21" s="248"/>
      <c r="K21" s="246"/>
      <c r="L21" s="250"/>
      <c r="M21" s="253"/>
      <c r="N21" s="248"/>
      <c r="O21" s="248"/>
      <c r="P21" s="248"/>
    </row>
    <row r="22" spans="2:16" x14ac:dyDescent="0.2">
      <c r="B22" s="247"/>
      <c r="C22" s="232"/>
      <c r="D22" s="251"/>
      <c r="E22" s="237"/>
      <c r="F22" s="249"/>
      <c r="G22" s="252"/>
      <c r="H22" s="248"/>
      <c r="I22" s="248"/>
      <c r="J22" s="248"/>
      <c r="K22" s="251"/>
      <c r="L22" s="250"/>
      <c r="M22" s="249"/>
      <c r="N22" s="248"/>
      <c r="O22" s="248"/>
      <c r="P22" s="248"/>
    </row>
    <row r="23" spans="2:16" x14ac:dyDescent="0.2">
      <c r="B23" s="247"/>
      <c r="C23" s="232"/>
      <c r="D23" s="246"/>
      <c r="E23" s="237"/>
      <c r="F23" s="245"/>
      <c r="G23" s="230"/>
      <c r="H23" s="235"/>
      <c r="I23" s="235"/>
      <c r="J23" s="235"/>
      <c r="K23" s="236"/>
      <c r="L23" s="235"/>
      <c r="M23" s="245"/>
    </row>
    <row r="24" spans="2:16" x14ac:dyDescent="0.2">
      <c r="B24" s="232"/>
      <c r="C24" s="232"/>
      <c r="D24" s="236"/>
      <c r="E24" s="237"/>
      <c r="F24" s="230"/>
      <c r="G24" s="241" t="s">
        <v>443</v>
      </c>
      <c r="H24" s="244">
        <f>MAX(H12:H17)</f>
        <v>3.6</v>
      </c>
      <c r="I24" s="243">
        <f t="shared" ref="I24:P24" si="3">MAX(I12:I17)</f>
        <v>16.3</v>
      </c>
      <c r="J24" s="243">
        <f t="shared" si="3"/>
        <v>11.5</v>
      </c>
      <c r="K24" s="243"/>
      <c r="L24" s="243"/>
      <c r="M24" s="243"/>
      <c r="N24" s="243">
        <f t="shared" si="3"/>
        <v>84.793213149522799</v>
      </c>
      <c r="O24" s="243">
        <f t="shared" si="3"/>
        <v>14.767156862745097</v>
      </c>
      <c r="P24" s="242">
        <f t="shared" si="3"/>
        <v>3.5737973301989761</v>
      </c>
    </row>
    <row r="25" spans="2:16" x14ac:dyDescent="0.2">
      <c r="B25" s="232"/>
      <c r="C25" s="232"/>
      <c r="D25" s="236"/>
      <c r="E25" s="237"/>
      <c r="F25" s="230"/>
      <c r="G25" s="241" t="s">
        <v>442</v>
      </c>
      <c r="H25" s="271">
        <f>AVERAGE(H12:H17)</f>
        <v>2.1833333333333336</v>
      </c>
      <c r="I25" s="287">
        <f t="shared" ref="I25:P25" si="4">AVERAGE(I12:I17)</f>
        <v>13.233333333333334</v>
      </c>
      <c r="J25" s="287">
        <f t="shared" si="4"/>
        <v>9.3666666666666671</v>
      </c>
      <c r="K25" s="287"/>
      <c r="L25" s="287"/>
      <c r="M25" s="287"/>
      <c r="N25" s="287">
        <f t="shared" si="4"/>
        <v>25.644437854475399</v>
      </c>
      <c r="O25" s="287">
        <f t="shared" si="4"/>
        <v>8.5017674013703282</v>
      </c>
      <c r="P25" s="272">
        <f t="shared" si="4"/>
        <v>2.2095920680315744</v>
      </c>
    </row>
    <row r="26" spans="2:16" x14ac:dyDescent="0.2">
      <c r="B26" s="232"/>
      <c r="C26" s="232"/>
      <c r="D26" s="236"/>
      <c r="E26" s="237"/>
      <c r="F26" s="230"/>
      <c r="G26" s="241" t="s">
        <v>441</v>
      </c>
      <c r="H26" s="271">
        <f>MEDIAN(H12:H17)</f>
        <v>1.85</v>
      </c>
      <c r="I26" s="287">
        <f t="shared" ref="I26:P26" si="5">MEDIAN(I12:I17)</f>
        <v>13.100000000000001</v>
      </c>
      <c r="J26" s="287">
        <f t="shared" si="5"/>
        <v>10.050000000000001</v>
      </c>
      <c r="K26" s="287"/>
      <c r="L26" s="287"/>
      <c r="M26" s="287"/>
      <c r="N26" s="287">
        <f t="shared" si="5"/>
        <v>14.289756811815636</v>
      </c>
      <c r="O26" s="287">
        <f t="shared" si="5"/>
        <v>8.9542979319938656</v>
      </c>
      <c r="P26" s="272">
        <f t="shared" si="5"/>
        <v>2.0018598752445387</v>
      </c>
    </row>
    <row r="27" spans="2:16" x14ac:dyDescent="0.2">
      <c r="B27" s="232"/>
      <c r="C27" s="232"/>
      <c r="D27" s="236"/>
      <c r="E27" s="237"/>
      <c r="F27" s="230"/>
      <c r="G27" s="241" t="s">
        <v>440</v>
      </c>
      <c r="H27" s="240">
        <f>MIN(H12:H17)</f>
        <v>0.9</v>
      </c>
      <c r="I27" s="239">
        <f t="shared" ref="I27:P27" si="6">MIN(I12:I17)</f>
        <v>10.7</v>
      </c>
      <c r="J27" s="239">
        <f t="shared" si="6"/>
        <v>7</v>
      </c>
      <c r="K27" s="239"/>
      <c r="L27" s="239"/>
      <c r="M27" s="239"/>
      <c r="N27" s="239">
        <f t="shared" si="6"/>
        <v>10.55746140651801</v>
      </c>
      <c r="O27" s="239">
        <f t="shared" si="6"/>
        <v>2.1495745633676671</v>
      </c>
      <c r="P27" s="238">
        <f t="shared" si="6"/>
        <v>0.99990128503655351</v>
      </c>
    </row>
    <row r="28" spans="2:16" x14ac:dyDescent="0.2">
      <c r="B28" s="232"/>
      <c r="C28" s="232"/>
      <c r="D28" s="236"/>
      <c r="E28" s="237"/>
      <c r="F28" s="230"/>
      <c r="G28" s="230"/>
      <c r="H28" s="235"/>
      <c r="I28" s="235"/>
      <c r="J28" s="235"/>
      <c r="K28" s="236"/>
      <c r="L28" s="235"/>
    </row>
    <row r="29" spans="2:16" x14ac:dyDescent="0.2">
      <c r="B29" s="232"/>
      <c r="C29" s="232"/>
      <c r="D29" s="232"/>
      <c r="E29" s="232"/>
      <c r="F29" s="232"/>
      <c r="G29" s="232"/>
      <c r="H29" s="232"/>
      <c r="I29" s="232"/>
      <c r="J29" s="232"/>
      <c r="K29" s="232"/>
      <c r="L29" s="232"/>
    </row>
    <row r="30" spans="2:16" ht="46" x14ac:dyDescent="0.2">
      <c r="B30" s="232"/>
      <c r="C30" s="232"/>
      <c r="D30" s="234" t="s">
        <v>439</v>
      </c>
      <c r="E30" s="234" t="s">
        <v>219</v>
      </c>
      <c r="F30" s="234" t="s">
        <v>240</v>
      </c>
      <c r="G30" s="234" t="s">
        <v>438</v>
      </c>
      <c r="H30" s="234" t="s">
        <v>437</v>
      </c>
      <c r="I30" s="234" t="s">
        <v>436</v>
      </c>
      <c r="J30" s="234" t="s">
        <v>435</v>
      </c>
      <c r="K30" s="234"/>
      <c r="N30" s="234" t="s">
        <v>434</v>
      </c>
      <c r="O30" s="234" t="s">
        <v>433</v>
      </c>
      <c r="P30" s="234" t="s">
        <v>432</v>
      </c>
    </row>
    <row r="31" spans="2:16" x14ac:dyDescent="0.2">
      <c r="B31" s="233" t="s">
        <v>271</v>
      </c>
      <c r="C31" s="232"/>
      <c r="D31" s="231">
        <f>F31/E31</f>
        <v>77.036370769459495</v>
      </c>
      <c r="E31" s="286">
        <f>TAP_DCF!I93</f>
        <v>194.721011</v>
      </c>
      <c r="F31" s="230">
        <f>G31-SUM(TAP_LTM!$C$10:$C$12)</f>
        <v>15000.600000000002</v>
      </c>
      <c r="G31" s="230">
        <f>H31*TAP_LTM!$C$6</f>
        <v>20745.900000000001</v>
      </c>
      <c r="H31" s="284">
        <f>H26</f>
        <v>1.85</v>
      </c>
      <c r="I31" s="284"/>
      <c r="J31" s="284"/>
      <c r="K31" s="229"/>
      <c r="L31" s="229"/>
      <c r="M31" s="229"/>
      <c r="N31" s="229"/>
      <c r="O31" s="229"/>
      <c r="P31" s="229"/>
    </row>
    <row r="32" spans="2:16" x14ac:dyDescent="0.2">
      <c r="B32" s="232"/>
      <c r="C32" s="232"/>
      <c r="D32" s="231">
        <f t="shared" ref="D32:D35" si="7">F32/E32</f>
        <v>96.233066497379681</v>
      </c>
      <c r="E32" s="253">
        <v>194.721011</v>
      </c>
      <c r="F32" s="230">
        <f>G32-SUM(TAP_LTM!$C$10:$C$12)</f>
        <v>18738.600000000002</v>
      </c>
      <c r="G32" s="230">
        <f>H32*TAP_LTM!$C$6</f>
        <v>24483.9</v>
      </c>
      <c r="H32" s="284">
        <f>H25</f>
        <v>2.1833333333333336</v>
      </c>
      <c r="I32" s="284"/>
      <c r="J32" s="284"/>
      <c r="K32" s="229"/>
      <c r="L32" s="229"/>
      <c r="M32" s="229"/>
      <c r="N32" s="229"/>
      <c r="O32" s="229"/>
      <c r="P32" s="229"/>
    </row>
    <row r="33" spans="2:16" x14ac:dyDescent="0.2">
      <c r="D33" s="231">
        <f t="shared" si="7"/>
        <v>724.92485158676607</v>
      </c>
      <c r="E33" s="253">
        <v>194.721011</v>
      </c>
      <c r="F33" s="230">
        <f>G33-SUM(TAP_LTM!$C$10:$C$12)</f>
        <v>141158.10000000003</v>
      </c>
      <c r="G33" s="230">
        <f>I33*TAP_LTM!$C$6</f>
        <v>146903.40000000002</v>
      </c>
      <c r="H33" s="284"/>
      <c r="I33" s="284">
        <f>I26</f>
        <v>13.100000000000001</v>
      </c>
      <c r="J33" s="284"/>
      <c r="K33" s="229"/>
      <c r="L33" s="229"/>
      <c r="M33" s="229"/>
      <c r="N33" s="229"/>
      <c r="O33" s="229"/>
      <c r="P33" s="229"/>
    </row>
    <row r="34" spans="2:16" x14ac:dyDescent="0.2">
      <c r="D34" s="231">
        <f t="shared" si="7"/>
        <v>732.60352987793397</v>
      </c>
      <c r="E34" s="253">
        <v>194.721011</v>
      </c>
      <c r="F34" s="230">
        <f>G34-SUM(TAP_LTM!$C$10:$C$12)</f>
        <v>142653.30000000002</v>
      </c>
      <c r="G34" s="230">
        <f>I34*TAP_LTM!$C$6</f>
        <v>148398.6</v>
      </c>
      <c r="H34" s="284"/>
      <c r="I34" s="284">
        <f>I25</f>
        <v>13.233333333333334</v>
      </c>
      <c r="J34" s="284"/>
      <c r="K34" s="229"/>
      <c r="L34" s="229"/>
      <c r="M34" s="229"/>
      <c r="N34" s="229"/>
      <c r="O34" s="229"/>
      <c r="P34" s="229"/>
    </row>
    <row r="35" spans="2:16" x14ac:dyDescent="0.2">
      <c r="D35" s="231">
        <f t="shared" si="7"/>
        <v>373.62531976582636</v>
      </c>
      <c r="E35" s="253">
        <v>194.721011</v>
      </c>
      <c r="F35" s="230">
        <f>G35-SUM(TAP_LTM!$C$10:$C$12)</f>
        <v>72752.7</v>
      </c>
      <c r="G35" s="230">
        <f>J35*TAP_LTM!$C$6</f>
        <v>78498</v>
      </c>
      <c r="H35" s="284"/>
      <c r="I35" s="284"/>
      <c r="J35" s="284">
        <v>7</v>
      </c>
      <c r="K35" s="229"/>
      <c r="L35" s="229"/>
      <c r="M35" s="229"/>
      <c r="N35" s="229"/>
      <c r="O35" s="229"/>
      <c r="P35" s="229"/>
    </row>
    <row r="36" spans="2:16" x14ac:dyDescent="0.2">
      <c r="D36" s="231">
        <f>F36/E36</f>
        <v>549.27508567629616</v>
      </c>
      <c r="E36" s="253">
        <v>194.721011</v>
      </c>
      <c r="F36" s="230">
        <f>G36-SUM(TAP_LTM!$C$10:$C$12)</f>
        <v>106955.40000000001</v>
      </c>
      <c r="G36" s="230">
        <f>J36*TAP_LTM!$C$6</f>
        <v>112700.70000000001</v>
      </c>
      <c r="H36" s="284"/>
      <c r="I36" s="284"/>
      <c r="J36" s="284">
        <f>J26</f>
        <v>10.050000000000001</v>
      </c>
      <c r="K36" s="229"/>
      <c r="L36" s="229"/>
      <c r="M36" s="229"/>
      <c r="N36" s="229"/>
      <c r="O36" s="229"/>
      <c r="P36" s="229"/>
    </row>
    <row r="37" spans="2:16" x14ac:dyDescent="0.2">
      <c r="D37" s="231">
        <f>N37*$K$10</f>
        <v>78.879457601222299</v>
      </c>
      <c r="E37" s="253">
        <v>194.721011</v>
      </c>
      <c r="F37" s="230"/>
      <c r="G37" s="230"/>
      <c r="H37" s="229"/>
      <c r="I37" s="229"/>
      <c r="J37" s="229"/>
      <c r="K37" s="229"/>
      <c r="L37" s="229"/>
      <c r="M37" s="229"/>
      <c r="N37" s="284">
        <f>N26</f>
        <v>14.289756811815636</v>
      </c>
      <c r="O37" s="284"/>
      <c r="P37" s="284"/>
    </row>
    <row r="38" spans="2:16" x14ac:dyDescent="0.2">
      <c r="D38" s="231">
        <f>N38*$K$10</f>
        <v>141.55729695670419</v>
      </c>
      <c r="E38" s="253">
        <v>194.721011</v>
      </c>
      <c r="F38" s="230"/>
      <c r="G38" s="230"/>
      <c r="H38" s="229"/>
      <c r="I38" s="229"/>
      <c r="J38" s="229"/>
      <c r="K38" s="229"/>
      <c r="L38" s="229"/>
      <c r="M38" s="229"/>
      <c r="N38" s="284">
        <f>N25</f>
        <v>25.644437854475399</v>
      </c>
      <c r="O38" s="284"/>
      <c r="P38" s="284"/>
    </row>
    <row r="39" spans="2:16" x14ac:dyDescent="0.2">
      <c r="D39" s="231">
        <f>O39*$K$10*$L$10*100</f>
        <v>45.991160934452921</v>
      </c>
      <c r="E39" s="253">
        <v>194.721011</v>
      </c>
      <c r="F39" s="230"/>
      <c r="G39" s="230"/>
      <c r="H39" s="229"/>
      <c r="I39" s="229"/>
      <c r="J39" s="229"/>
      <c r="K39" s="229"/>
      <c r="L39" s="229"/>
      <c r="M39" s="229"/>
      <c r="N39" s="284"/>
      <c r="O39" s="284">
        <f>O25</f>
        <v>8.5017674013703282</v>
      </c>
      <c r="P39" s="284"/>
    </row>
    <row r="40" spans="2:16" x14ac:dyDescent="0.2">
      <c r="D40" s="231">
        <f>O40*$K$10*$L$10*100</f>
        <v>48.439170092914011</v>
      </c>
      <c r="E40" s="253">
        <v>194.721011</v>
      </c>
      <c r="F40" s="230"/>
      <c r="G40" s="230"/>
      <c r="H40" s="229"/>
      <c r="I40" s="229"/>
      <c r="J40" s="229"/>
      <c r="K40" s="229"/>
      <c r="L40" s="229"/>
      <c r="M40" s="229"/>
      <c r="N40" s="284"/>
      <c r="O40" s="284">
        <f>O26</f>
        <v>8.9542979319938656</v>
      </c>
      <c r="P40" s="284"/>
    </row>
    <row r="41" spans="2:16" x14ac:dyDescent="0.2">
      <c r="D41" s="231">
        <f>F41/E41</f>
        <v>138.30259100134913</v>
      </c>
      <c r="E41" s="253">
        <v>194.721011</v>
      </c>
      <c r="F41" s="230">
        <f>P41*$M$10</f>
        <v>26930.420343702208</v>
      </c>
      <c r="G41" s="230"/>
      <c r="H41" s="229"/>
      <c r="I41" s="229"/>
      <c r="J41" s="229"/>
      <c r="K41" s="229"/>
      <c r="L41" s="229"/>
      <c r="M41" s="229"/>
      <c r="N41" s="284"/>
      <c r="O41" s="284"/>
      <c r="P41" s="284">
        <f>P26</f>
        <v>2.0018598752445387</v>
      </c>
    </row>
    <row r="42" spans="2:16" x14ac:dyDescent="0.2">
      <c r="D42" s="231">
        <f>F42/E42</f>
        <v>152.65419515312789</v>
      </c>
      <c r="E42" s="253">
        <v>194.721011</v>
      </c>
      <c r="F42" s="230">
        <f>P42*$M$10</f>
        <v>29724.979213608363</v>
      </c>
      <c r="G42" s="230"/>
      <c r="H42" s="229"/>
      <c r="I42" s="229"/>
      <c r="J42" s="229"/>
      <c r="K42" s="229"/>
      <c r="L42" s="229"/>
      <c r="M42" s="229"/>
      <c r="N42" s="284"/>
      <c r="O42" s="284"/>
      <c r="P42" s="284">
        <f>P25</f>
        <v>2.2095920680315744</v>
      </c>
    </row>
    <row r="44" spans="2:16" x14ac:dyDescent="0.2">
      <c r="B44" s="289" t="s">
        <v>538</v>
      </c>
    </row>
    <row r="45" spans="2:16" x14ac:dyDescent="0.2">
      <c r="B45" s="228" t="s">
        <v>539</v>
      </c>
      <c r="C45" s="253">
        <v>5385</v>
      </c>
    </row>
    <row r="46" spans="2:16" x14ac:dyDescent="0.2">
      <c r="B46" s="228" t="s">
        <v>540</v>
      </c>
      <c r="C46" s="253">
        <v>0</v>
      </c>
    </row>
    <row r="47" spans="2:16" x14ac:dyDescent="0.2">
      <c r="B47" s="228" t="s">
        <v>541</v>
      </c>
      <c r="C47" s="253">
        <v>360.3</v>
      </c>
    </row>
  </sheetData>
  <hyperlinks>
    <hyperlink ref="H12" r:id="rId1" tooltip="Company: Constellation Brands, Inc. (NYSE:STZ) Data Item: TEV/Total Revenues Value: 3.6x " display="javascript:void(0);" xr:uid="{CF318024-582D-E447-BCD8-3F24E775F3FD}"/>
  </hyperlinks>
  <pageMargins left="0.7" right="0.7" top="0.75" bottom="0.75" header="0.3" footer="0.3"/>
  <pageSetup orientation="portrait" verticalDpi="90"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E977AA-6C16-6749-9027-96D93BFC254B}">
  <dimension ref="A1:R25"/>
  <sheetViews>
    <sheetView showGridLines="0" zoomScale="107" zoomScaleNormal="122" workbookViewId="0">
      <selection activeCell="D16" sqref="D16"/>
    </sheetView>
  </sheetViews>
  <sheetFormatPr baseColWidth="10" defaultRowHeight="16" x14ac:dyDescent="0.2"/>
  <cols>
    <col min="2" max="2" width="20.83203125" customWidth="1"/>
    <col min="3" max="3" width="27.5" customWidth="1"/>
  </cols>
  <sheetData>
    <row r="1" spans="1:18" ht="25" x14ac:dyDescent="0.25">
      <c r="A1" s="270" t="s">
        <v>549</v>
      </c>
      <c r="C1" s="290"/>
      <c r="D1" s="290"/>
      <c r="E1" s="290"/>
      <c r="F1" s="290"/>
      <c r="G1" s="290"/>
      <c r="H1" s="290"/>
      <c r="I1" s="290"/>
      <c r="J1" s="290"/>
      <c r="K1" s="290"/>
      <c r="L1" s="290"/>
      <c r="M1" s="290"/>
      <c r="N1" s="290"/>
      <c r="O1" s="290"/>
      <c r="P1" s="290"/>
      <c r="Q1" s="290"/>
      <c r="R1" s="290"/>
    </row>
    <row r="2" spans="1:18" x14ac:dyDescent="0.2">
      <c r="A2" s="290"/>
      <c r="B2" s="290"/>
      <c r="C2" s="290"/>
      <c r="D2" s="290"/>
      <c r="E2" s="290"/>
      <c r="F2" s="290"/>
      <c r="G2" s="290"/>
      <c r="H2" s="290"/>
      <c r="I2" s="290"/>
      <c r="J2" s="290"/>
      <c r="K2" s="290"/>
      <c r="L2" s="290"/>
      <c r="M2" s="290"/>
      <c r="N2" s="290"/>
      <c r="O2" s="290"/>
      <c r="P2" s="290"/>
      <c r="Q2" s="290"/>
      <c r="R2" s="290"/>
    </row>
    <row r="3" spans="1:18" x14ac:dyDescent="0.2">
      <c r="A3" s="290"/>
      <c r="B3" s="269" t="s">
        <v>342</v>
      </c>
      <c r="C3" s="269"/>
      <c r="D3" s="232"/>
      <c r="E3" s="291"/>
      <c r="F3" s="290"/>
      <c r="G3" s="290"/>
      <c r="H3" s="290"/>
      <c r="I3" s="290"/>
      <c r="J3" s="290"/>
      <c r="K3" s="290"/>
      <c r="L3" s="290"/>
      <c r="M3" s="290"/>
      <c r="N3" s="290"/>
      <c r="O3" s="290"/>
      <c r="P3" s="290"/>
      <c r="Q3" s="290"/>
      <c r="R3" s="290"/>
    </row>
    <row r="4" spans="1:18" x14ac:dyDescent="0.2">
      <c r="A4" s="290"/>
      <c r="B4" s="268" t="s">
        <v>463</v>
      </c>
      <c r="C4" s="267">
        <v>46022</v>
      </c>
      <c r="D4" s="259"/>
      <c r="E4" s="292"/>
      <c r="F4" s="290"/>
      <c r="G4" s="290"/>
      <c r="H4" s="290"/>
      <c r="I4" s="290"/>
      <c r="J4" s="290"/>
      <c r="K4" s="290"/>
      <c r="L4" s="290"/>
      <c r="M4" s="290"/>
      <c r="N4" s="290"/>
      <c r="O4" s="290"/>
      <c r="P4" s="290"/>
      <c r="Q4" s="290"/>
      <c r="R4" s="290"/>
    </row>
    <row r="5" spans="1:18" x14ac:dyDescent="0.2">
      <c r="A5" s="290"/>
      <c r="B5" s="266" t="s">
        <v>194</v>
      </c>
      <c r="C5" s="273" t="s">
        <v>272</v>
      </c>
      <c r="D5" s="259"/>
      <c r="E5" s="290"/>
      <c r="F5" s="290"/>
      <c r="G5" s="290"/>
      <c r="H5" s="290"/>
      <c r="I5" s="290"/>
      <c r="J5" s="290"/>
      <c r="K5" s="290"/>
      <c r="L5" s="290"/>
      <c r="M5" s="290"/>
      <c r="N5" s="290"/>
      <c r="O5" s="290"/>
      <c r="P5" s="290"/>
      <c r="Q5" s="290"/>
      <c r="R5" s="290"/>
    </row>
    <row r="6" spans="1:18" x14ac:dyDescent="0.2">
      <c r="A6" s="290"/>
      <c r="B6" s="266" t="s">
        <v>462</v>
      </c>
      <c r="C6" s="265">
        <v>45978</v>
      </c>
      <c r="D6" s="259"/>
      <c r="E6" s="290"/>
      <c r="F6" s="290"/>
      <c r="G6" s="290"/>
      <c r="H6" s="290"/>
      <c r="I6" s="290"/>
      <c r="J6" s="290"/>
      <c r="K6" s="290"/>
      <c r="L6" s="290"/>
      <c r="M6" s="290"/>
      <c r="N6" s="290"/>
      <c r="O6" s="290"/>
      <c r="P6" s="290"/>
      <c r="Q6" s="290"/>
      <c r="R6" s="290"/>
    </row>
    <row r="7" spans="1:18" x14ac:dyDescent="0.2">
      <c r="A7" s="290"/>
      <c r="B7" s="264" t="s">
        <v>270</v>
      </c>
      <c r="C7" s="263" t="s">
        <v>515</v>
      </c>
      <c r="D7" s="259"/>
      <c r="E7" s="290"/>
      <c r="F7" s="290"/>
      <c r="G7" s="290"/>
      <c r="H7" s="290"/>
      <c r="I7" s="290"/>
      <c r="J7" s="32" t="s">
        <v>542</v>
      </c>
      <c r="K7" s="32"/>
      <c r="L7" s="290"/>
      <c r="M7" s="290"/>
      <c r="N7" s="290"/>
      <c r="O7" s="290"/>
      <c r="P7" s="290"/>
      <c r="Q7" s="290"/>
      <c r="R7" s="290"/>
    </row>
    <row r="8" spans="1:18" x14ac:dyDescent="0.2">
      <c r="A8" s="290"/>
      <c r="B8" s="294" t="s">
        <v>543</v>
      </c>
      <c r="C8" s="294"/>
      <c r="D8" s="294"/>
      <c r="E8" s="294"/>
      <c r="F8" s="295" t="s">
        <v>440</v>
      </c>
      <c r="G8" s="295" t="s">
        <v>544</v>
      </c>
      <c r="H8" s="295" t="s">
        <v>443</v>
      </c>
      <c r="I8" s="290"/>
      <c r="J8" s="294" t="s">
        <v>440</v>
      </c>
      <c r="K8" s="294" t="s">
        <v>443</v>
      </c>
      <c r="L8" s="290"/>
      <c r="M8" t="s">
        <v>223</v>
      </c>
      <c r="O8" s="290"/>
      <c r="P8" s="290"/>
      <c r="Q8" s="290"/>
      <c r="R8" s="290"/>
    </row>
    <row r="9" spans="1:18" x14ac:dyDescent="0.2">
      <c r="A9" s="290"/>
      <c r="B9" s="290" t="str">
        <f>"Public comps EV/Sales range " &amp;TEXT(J9,"0.0x")&amp;"-"&amp;TEXT(K9,"0.0x")</f>
        <v>Public comps EV/Sales range 1.9x-2.2x</v>
      </c>
      <c r="C9" s="290"/>
      <c r="D9" s="290"/>
      <c r="E9" s="290"/>
      <c r="F9" s="135">
        <f>TAP_Comps!D31</f>
        <v>77.036370769459495</v>
      </c>
      <c r="G9" s="135">
        <f>H9-F9</f>
        <v>19.196695727920186</v>
      </c>
      <c r="H9" s="135">
        <f>TAP_Comps!D32</f>
        <v>96.233066497379681</v>
      </c>
      <c r="I9" s="290"/>
      <c r="J9" s="297">
        <f>TAP_Comps!H31</f>
        <v>1.85</v>
      </c>
      <c r="K9" s="297">
        <f>TAP_Comps!H32</f>
        <v>2.1833333333333336</v>
      </c>
      <c r="L9" s="290"/>
      <c r="M9" s="293">
        <f>$D$4</f>
        <v>0</v>
      </c>
      <c r="N9" s="290"/>
      <c r="O9" s="290"/>
      <c r="P9" s="290"/>
      <c r="Q9" s="290"/>
      <c r="R9" s="290"/>
    </row>
    <row r="10" spans="1:18" x14ac:dyDescent="0.2">
      <c r="A10" s="290"/>
      <c r="B10" s="290" t="str">
        <f>"Public comps EV/EBIT range " &amp;TEXT(J10,"0.0x")&amp;"-"&amp;TEXT(K10,"0.0x")</f>
        <v>Public comps EV/EBIT range 8.5x-9.0x</v>
      </c>
      <c r="C10" s="290"/>
      <c r="D10" s="290"/>
      <c r="E10" s="290"/>
      <c r="F10" s="135">
        <f>TAP_Comps!D39</f>
        <v>45.991160934452921</v>
      </c>
      <c r="G10" s="135">
        <f>H10-F10</f>
        <v>2.4480091584610904</v>
      </c>
      <c r="H10" s="135">
        <f>TAP_Comps!D40</f>
        <v>48.439170092914011</v>
      </c>
      <c r="I10" s="290"/>
      <c r="J10" s="297">
        <f>TAP_Comps!O39</f>
        <v>8.5017674013703282</v>
      </c>
      <c r="K10" s="297">
        <f>TAP_Comps!O40</f>
        <v>8.9542979319938656</v>
      </c>
      <c r="L10" s="290"/>
      <c r="M10" s="293">
        <f>$D$4</f>
        <v>0</v>
      </c>
      <c r="N10" s="290"/>
      <c r="O10" s="290"/>
      <c r="P10" s="290"/>
      <c r="Q10" s="290"/>
      <c r="R10" s="290"/>
    </row>
    <row r="11" spans="1:18" x14ac:dyDescent="0.2">
      <c r="A11" s="290"/>
      <c r="B11" s="290" t="str">
        <f>"Public comps EV/EBITDA range " &amp;TEXT(J11,"0.0x")&amp;"-"&amp;TEXT(K11,"0.0x")</f>
        <v>Public comps EV/EBITDA range 7.0x-10.1x</v>
      </c>
      <c r="C11" s="290"/>
      <c r="D11" s="290"/>
      <c r="E11" s="290"/>
      <c r="F11" s="135">
        <f>TAP_Comps!D35</f>
        <v>373.62531976582636</v>
      </c>
      <c r="G11" s="135">
        <f>H11-F11</f>
        <v>175.6497659104698</v>
      </c>
      <c r="H11" s="135">
        <f>TAP_Comps!D36</f>
        <v>549.27508567629616</v>
      </c>
      <c r="I11" s="290"/>
      <c r="J11" s="297">
        <f>TAP_Comps!J35</f>
        <v>7</v>
      </c>
      <c r="K11" s="297">
        <f>TAP_Comps!J36</f>
        <v>10.050000000000001</v>
      </c>
      <c r="L11" s="290"/>
      <c r="M11" s="293">
        <f>$D$4</f>
        <v>0</v>
      </c>
      <c r="N11" s="290"/>
      <c r="O11" s="290"/>
      <c r="P11" s="290"/>
      <c r="Q11" s="290"/>
      <c r="R11" s="290"/>
    </row>
    <row r="12" spans="1:18" x14ac:dyDescent="0.2">
      <c r="A12" s="290"/>
      <c r="B12" s="290" t="str">
        <f>"Public comps Forward PEG range " &amp;TEXT(J12,"0.0x")&amp;"-"&amp;TEXT(K12,"0.0x")</f>
        <v>Public comps Forward PEG range 8.5x-9.0x</v>
      </c>
      <c r="C12" s="290"/>
      <c r="D12" s="290"/>
      <c r="E12" s="290"/>
      <c r="F12" s="135">
        <f>TAP_DCF!E159</f>
        <v>39.891797788636197</v>
      </c>
      <c r="G12" s="135">
        <f>H12-F12</f>
        <v>64.192618613731867</v>
      </c>
      <c r="H12" s="135">
        <f>TAP_DCF!L159</f>
        <v>104.08441640236806</v>
      </c>
      <c r="I12" s="290"/>
      <c r="J12" s="297">
        <f>TAP_Comps!O39</f>
        <v>8.5017674013703282</v>
      </c>
      <c r="K12" s="297">
        <f>TAP_Comps!O40</f>
        <v>8.9542979319938656</v>
      </c>
      <c r="L12" s="290"/>
      <c r="M12" s="293">
        <f>$D$4</f>
        <v>0</v>
      </c>
      <c r="N12" s="290"/>
      <c r="O12" s="290"/>
      <c r="P12" s="290"/>
      <c r="Q12" s="290"/>
      <c r="R12" s="290"/>
    </row>
    <row r="13" spans="1:18" x14ac:dyDescent="0.2">
      <c r="A13" s="290"/>
      <c r="B13" s="290" t="str">
        <f>"Public comps Forward P/E range " &amp;TEXT(J13,"0.0x")&amp;"-"&amp;TEXT(K13,"0.0x")</f>
        <v>Public comps Forward P/E range 14.3x-25.6x</v>
      </c>
      <c r="C13" s="290"/>
      <c r="D13" s="290"/>
      <c r="E13" s="290"/>
      <c r="F13" s="135">
        <f>TAP_Comps!D39</f>
        <v>45.991160934452921</v>
      </c>
      <c r="G13" s="135">
        <f t="shared" ref="G13:G15" si="0">H13-F13</f>
        <v>2.4480091584610904</v>
      </c>
      <c r="H13" s="135">
        <f>TAP_Comps!D40</f>
        <v>48.439170092914011</v>
      </c>
      <c r="I13" s="290"/>
      <c r="J13" s="297">
        <f>TAP_Comps!N37</f>
        <v>14.289756811815636</v>
      </c>
      <c r="K13" s="297">
        <f>TAP_Comps!N38</f>
        <v>25.644437854475399</v>
      </c>
      <c r="L13" s="290"/>
      <c r="M13" s="293">
        <f t="shared" ref="M13:M14" si="1">$D$4</f>
        <v>0</v>
      </c>
      <c r="N13" s="290"/>
      <c r="O13" s="290"/>
      <c r="P13" s="290"/>
      <c r="Q13" s="290"/>
      <c r="R13" s="290"/>
    </row>
    <row r="14" spans="1:18" x14ac:dyDescent="0.2">
      <c r="A14" s="290"/>
      <c r="B14" s="290" t="str">
        <f>"Public comps Price-to-Book range " &amp;TEXT(J14,"0.0x")&amp;"-"&amp;TEXT(K14,"0.0x")</f>
        <v>Public comps Price-to-Book range 2.0x-2.2x</v>
      </c>
      <c r="C14" s="290"/>
      <c r="D14" s="290"/>
      <c r="E14" s="290"/>
      <c r="F14" s="135">
        <f>TAP_Comps!D41</f>
        <v>138.30259100134913</v>
      </c>
      <c r="G14" s="135">
        <f t="shared" si="0"/>
        <v>14.351604151778758</v>
      </c>
      <c r="H14" s="135">
        <f>TAP_Comps!D42</f>
        <v>152.65419515312789</v>
      </c>
      <c r="I14" s="290"/>
      <c r="J14" s="297">
        <f>TAP_Comps!P41</f>
        <v>2.0018598752445387</v>
      </c>
      <c r="K14" s="297">
        <f>TAP_Comps!P42</f>
        <v>2.2095920680315744</v>
      </c>
      <c r="L14" s="290"/>
      <c r="M14" s="293">
        <f t="shared" si="1"/>
        <v>0</v>
      </c>
      <c r="N14" s="290"/>
      <c r="O14" s="290"/>
      <c r="P14" s="290"/>
      <c r="Q14" s="290"/>
      <c r="R14" s="290"/>
    </row>
    <row r="15" spans="1:18" x14ac:dyDescent="0.2">
      <c r="A15" s="290"/>
      <c r="B15" s="290" t="s">
        <v>545</v>
      </c>
      <c r="C15" s="290"/>
      <c r="D15" s="290"/>
      <c r="E15" s="290"/>
      <c r="F15" s="292">
        <v>42.94</v>
      </c>
      <c r="G15" s="135">
        <f t="shared" si="0"/>
        <v>21.72</v>
      </c>
      <c r="H15" s="292">
        <v>64.66</v>
      </c>
      <c r="I15" s="290"/>
      <c r="J15" s="290"/>
      <c r="K15" s="290"/>
      <c r="L15" s="290"/>
      <c r="M15" s="293">
        <f>$D$4</f>
        <v>0</v>
      </c>
      <c r="N15" s="290"/>
      <c r="O15" s="290"/>
      <c r="P15" s="290"/>
      <c r="Q15" s="290"/>
      <c r="R15" s="290"/>
    </row>
    <row r="16" spans="1:18" x14ac:dyDescent="0.2">
      <c r="A16" s="290"/>
      <c r="B16" s="290"/>
      <c r="C16" s="290"/>
      <c r="D16" s="290"/>
      <c r="E16" s="290"/>
      <c r="F16" s="290"/>
      <c r="G16" s="290"/>
      <c r="H16" s="290"/>
      <c r="I16" s="290"/>
      <c r="J16" s="290"/>
      <c r="K16" s="290"/>
      <c r="L16" s="290"/>
      <c r="M16" s="290"/>
      <c r="N16" s="290"/>
      <c r="O16" s="290"/>
      <c r="P16" s="290"/>
      <c r="Q16" s="290"/>
      <c r="R16" s="290"/>
    </row>
    <row r="17" spans="1:18" x14ac:dyDescent="0.2">
      <c r="A17" s="290"/>
      <c r="B17" s="290"/>
      <c r="C17" s="290"/>
      <c r="D17" s="290"/>
      <c r="E17" s="290"/>
      <c r="F17" s="290"/>
      <c r="G17" s="290"/>
      <c r="H17" s="290"/>
      <c r="I17" s="290"/>
      <c r="J17" s="290"/>
      <c r="K17" s="290"/>
      <c r="L17" s="290"/>
      <c r="M17" s="290"/>
      <c r="N17" s="290"/>
      <c r="O17" s="290"/>
      <c r="P17" s="290"/>
      <c r="Q17" s="290"/>
      <c r="R17" s="290"/>
    </row>
    <row r="18" spans="1:18" x14ac:dyDescent="0.2">
      <c r="A18" s="290"/>
      <c r="B18" s="290"/>
      <c r="C18" s="290"/>
      <c r="D18" s="290"/>
      <c r="E18" s="290"/>
      <c r="F18" s="290"/>
      <c r="G18" s="290"/>
      <c r="H18" s="290"/>
      <c r="I18" s="290"/>
      <c r="J18" s="290"/>
      <c r="K18" s="290"/>
      <c r="L18" s="290"/>
      <c r="M18" s="290"/>
      <c r="N18" s="290"/>
      <c r="O18" s="290"/>
      <c r="P18" s="290"/>
      <c r="Q18" s="290"/>
      <c r="R18" s="290"/>
    </row>
    <row r="19" spans="1:18" x14ac:dyDescent="0.2">
      <c r="A19" s="290"/>
      <c r="B19" s="290"/>
      <c r="C19" s="290"/>
      <c r="D19" s="290"/>
      <c r="E19" s="290"/>
      <c r="F19" s="290"/>
      <c r="G19" s="290"/>
      <c r="H19" s="290"/>
      <c r="I19" s="290"/>
      <c r="J19" s="290"/>
      <c r="K19" s="290"/>
      <c r="L19" s="290"/>
      <c r="M19" s="290"/>
      <c r="N19" s="290"/>
      <c r="O19" s="290"/>
      <c r="P19" s="290"/>
      <c r="Q19" s="290"/>
      <c r="R19" s="290"/>
    </row>
    <row r="20" spans="1:18" x14ac:dyDescent="0.2">
      <c r="A20" s="290"/>
      <c r="B20" s="290"/>
      <c r="C20" s="290"/>
      <c r="D20" s="290"/>
      <c r="E20" s="290"/>
      <c r="F20" s="290"/>
      <c r="G20" s="290"/>
      <c r="H20" s="290"/>
      <c r="I20" s="290"/>
      <c r="J20" s="290"/>
      <c r="K20" s="290"/>
      <c r="L20" s="290"/>
      <c r="M20" s="290"/>
      <c r="N20" s="290"/>
      <c r="O20" s="290"/>
      <c r="P20" s="290"/>
      <c r="Q20" s="290"/>
      <c r="R20" s="290"/>
    </row>
    <row r="21" spans="1:18" x14ac:dyDescent="0.2">
      <c r="A21" s="290"/>
      <c r="B21" s="290"/>
      <c r="C21" s="290"/>
      <c r="D21" s="290"/>
      <c r="E21" s="290"/>
      <c r="F21" s="290"/>
      <c r="G21" s="290"/>
      <c r="H21" s="290"/>
      <c r="I21" s="290"/>
      <c r="J21" s="290"/>
      <c r="K21" s="290"/>
      <c r="L21" s="290"/>
      <c r="M21" s="290"/>
      <c r="N21" s="290"/>
      <c r="O21" s="290"/>
      <c r="P21" s="290"/>
      <c r="Q21" s="290"/>
      <c r="R21" s="290"/>
    </row>
    <row r="22" spans="1:18" x14ac:dyDescent="0.2">
      <c r="A22" s="290"/>
      <c r="B22" s="290"/>
      <c r="C22" s="290"/>
      <c r="D22" s="290"/>
      <c r="E22" s="290"/>
      <c r="F22" s="290"/>
      <c r="G22" s="290"/>
      <c r="H22" s="290"/>
      <c r="I22" s="290"/>
      <c r="J22" s="290"/>
      <c r="K22" s="290"/>
      <c r="L22" s="290"/>
      <c r="M22" s="290"/>
      <c r="N22" s="290"/>
      <c r="O22" s="290"/>
      <c r="P22" s="290"/>
      <c r="Q22" s="290"/>
      <c r="R22" s="290"/>
    </row>
    <row r="23" spans="1:18" x14ac:dyDescent="0.2">
      <c r="A23" s="290"/>
      <c r="B23" s="290"/>
      <c r="C23" s="290"/>
      <c r="D23" s="290"/>
      <c r="E23" s="290"/>
      <c r="F23" s="290"/>
      <c r="G23" s="290"/>
      <c r="H23" s="290"/>
      <c r="I23" s="290"/>
      <c r="J23" s="290"/>
      <c r="K23" s="290"/>
      <c r="L23" s="290"/>
      <c r="M23" s="290"/>
      <c r="N23" s="290"/>
      <c r="O23" s="290"/>
      <c r="P23" s="290"/>
      <c r="Q23" s="290"/>
      <c r="R23" s="290"/>
    </row>
    <row r="24" spans="1:18" x14ac:dyDescent="0.2">
      <c r="A24" s="290"/>
      <c r="B24" s="290"/>
      <c r="C24" s="290"/>
      <c r="D24" s="290"/>
      <c r="E24" s="290"/>
      <c r="F24" s="290"/>
      <c r="G24" s="290"/>
      <c r="H24" s="290"/>
      <c r="I24" s="290"/>
      <c r="J24" s="290"/>
      <c r="K24" s="290"/>
      <c r="L24" s="290"/>
      <c r="M24" s="290"/>
      <c r="N24" s="290"/>
      <c r="O24" s="290"/>
      <c r="P24" s="290"/>
      <c r="Q24" s="290"/>
      <c r="R24" s="293"/>
    </row>
    <row r="25" spans="1:18" x14ac:dyDescent="0.2">
      <c r="A25" s="290"/>
      <c r="B25" s="290"/>
      <c r="C25" s="290"/>
      <c r="D25" s="290"/>
      <c r="E25" s="290"/>
      <c r="F25" s="290"/>
      <c r="G25" s="290"/>
      <c r="H25" s="290"/>
      <c r="I25" s="290"/>
      <c r="J25" s="290"/>
      <c r="K25" s="290"/>
      <c r="L25" s="290"/>
      <c r="M25" s="290"/>
      <c r="N25" s="290"/>
      <c r="O25" s="290"/>
      <c r="P25" s="290"/>
      <c r="Q25" s="290"/>
      <c r="R25" s="293"/>
    </row>
  </sheetData>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DB65AE-7AFC-6D43-8336-631EF3C19F18}">
  <dimension ref="A1:R23"/>
  <sheetViews>
    <sheetView showGridLines="0" zoomScale="122" zoomScaleNormal="122" workbookViewId="0">
      <selection activeCell="M19" sqref="M19"/>
    </sheetView>
  </sheetViews>
  <sheetFormatPr baseColWidth="10" defaultRowHeight="16" x14ac:dyDescent="0.2"/>
  <cols>
    <col min="2" max="2" width="20.5" customWidth="1"/>
    <col min="3" max="3" width="25.83203125" customWidth="1"/>
    <col min="4" max="4" width="10.83203125" customWidth="1"/>
  </cols>
  <sheetData>
    <row r="1" spans="1:18" ht="25" x14ac:dyDescent="0.25">
      <c r="A1" s="270" t="s">
        <v>548</v>
      </c>
      <c r="C1" s="290"/>
      <c r="D1" s="290"/>
      <c r="E1" s="290"/>
      <c r="F1" s="290"/>
      <c r="G1" s="290"/>
      <c r="H1" s="290"/>
      <c r="I1" s="290"/>
      <c r="J1" s="290"/>
      <c r="K1" s="290"/>
      <c r="L1" s="290"/>
      <c r="M1" s="290"/>
      <c r="N1" s="290"/>
      <c r="O1" s="290"/>
      <c r="P1" s="290"/>
      <c r="Q1" s="290"/>
      <c r="R1" s="290"/>
    </row>
    <row r="2" spans="1:18" x14ac:dyDescent="0.2">
      <c r="A2" s="290"/>
      <c r="B2" s="290"/>
      <c r="C2" s="290"/>
      <c r="D2" s="290"/>
      <c r="E2" s="290"/>
      <c r="F2" s="290"/>
      <c r="G2" s="290"/>
      <c r="H2" s="290"/>
      <c r="I2" s="290"/>
      <c r="J2" s="290"/>
      <c r="K2" s="290"/>
      <c r="L2" s="290"/>
      <c r="M2" s="290"/>
      <c r="N2" s="290"/>
      <c r="O2" s="290"/>
      <c r="P2" s="290"/>
      <c r="Q2" s="290"/>
      <c r="R2" s="290"/>
    </row>
    <row r="3" spans="1:18" x14ac:dyDescent="0.2">
      <c r="A3" s="290"/>
      <c r="B3" s="269" t="s">
        <v>342</v>
      </c>
      <c r="C3" s="269"/>
      <c r="D3" s="232"/>
      <c r="E3" s="291"/>
      <c r="F3" s="290"/>
      <c r="G3" s="290"/>
      <c r="H3" s="290"/>
      <c r="I3" s="290"/>
      <c r="J3" s="290"/>
      <c r="K3" s="290"/>
      <c r="L3" s="290"/>
      <c r="M3" s="290"/>
      <c r="N3" s="290"/>
      <c r="O3" s="290"/>
      <c r="P3" s="290"/>
      <c r="Q3" s="290"/>
      <c r="R3" s="290"/>
    </row>
    <row r="4" spans="1:18" x14ac:dyDescent="0.2">
      <c r="A4" s="290"/>
      <c r="B4" s="268" t="s">
        <v>463</v>
      </c>
      <c r="C4" s="267">
        <v>46022</v>
      </c>
      <c r="D4" s="259"/>
      <c r="E4" s="292"/>
      <c r="F4" s="290"/>
      <c r="G4" s="290"/>
      <c r="H4" s="290"/>
      <c r="I4" s="290"/>
      <c r="J4" s="290"/>
      <c r="K4" s="290"/>
      <c r="L4" s="290"/>
      <c r="M4" s="290"/>
      <c r="N4" s="290"/>
      <c r="O4" s="290"/>
      <c r="P4" s="290"/>
      <c r="Q4" s="290"/>
      <c r="R4" s="290"/>
    </row>
    <row r="5" spans="1:18" x14ac:dyDescent="0.2">
      <c r="A5" s="290"/>
      <c r="B5" s="266" t="s">
        <v>194</v>
      </c>
      <c r="C5" s="273" t="s">
        <v>272</v>
      </c>
      <c r="D5" s="259"/>
      <c r="E5" s="290"/>
      <c r="F5" s="290"/>
      <c r="G5" s="290"/>
      <c r="H5" s="290"/>
      <c r="I5" s="290"/>
      <c r="J5" s="290"/>
      <c r="K5" s="290"/>
      <c r="L5" s="290"/>
      <c r="M5" s="290"/>
      <c r="N5" s="290"/>
      <c r="O5" s="290"/>
      <c r="P5" s="290"/>
      <c r="Q5" s="290"/>
      <c r="R5" s="290"/>
    </row>
    <row r="6" spans="1:18" x14ac:dyDescent="0.2">
      <c r="A6" s="290"/>
      <c r="B6" s="266" t="s">
        <v>462</v>
      </c>
      <c r="C6" s="265">
        <v>45978</v>
      </c>
      <c r="D6" s="259"/>
      <c r="E6" s="290"/>
      <c r="F6" s="290"/>
      <c r="G6" s="290"/>
      <c r="H6" s="290"/>
      <c r="I6" s="290"/>
      <c r="J6" s="290"/>
      <c r="K6" s="290"/>
      <c r="L6" s="290"/>
      <c r="M6" s="290"/>
      <c r="N6" s="290"/>
      <c r="O6" s="290"/>
      <c r="P6" s="290"/>
      <c r="Q6" s="290"/>
      <c r="R6" s="290"/>
    </row>
    <row r="7" spans="1:18" x14ac:dyDescent="0.2">
      <c r="A7" s="290"/>
      <c r="B7" s="264" t="s">
        <v>270</v>
      </c>
      <c r="C7" s="263" t="s">
        <v>515</v>
      </c>
      <c r="D7" s="259"/>
      <c r="E7" s="290"/>
      <c r="F7" s="290"/>
      <c r="G7" s="290"/>
      <c r="H7" s="290"/>
      <c r="I7" s="290"/>
      <c r="J7" s="32"/>
      <c r="K7" s="32"/>
      <c r="L7" s="290"/>
      <c r="M7" s="290"/>
      <c r="N7" s="290"/>
      <c r="O7" s="290"/>
      <c r="P7" s="290"/>
      <c r="Q7" s="290"/>
      <c r="R7" s="290"/>
    </row>
    <row r="8" spans="1:18" x14ac:dyDescent="0.2">
      <c r="A8" s="290"/>
      <c r="B8" s="294" t="s">
        <v>543</v>
      </c>
      <c r="C8" s="294"/>
      <c r="D8" s="295" t="s">
        <v>440</v>
      </c>
      <c r="E8" s="295" t="s">
        <v>544</v>
      </c>
      <c r="F8" s="295" t="s">
        <v>443</v>
      </c>
      <c r="G8" s="290"/>
      <c r="H8" s="294" t="s">
        <v>440</v>
      </c>
      <c r="I8" s="294" t="s">
        <v>443</v>
      </c>
      <c r="J8" s="290"/>
      <c r="K8" s="304" t="s">
        <v>223</v>
      </c>
      <c r="L8" s="304"/>
      <c r="O8" s="290"/>
      <c r="P8" s="290"/>
      <c r="Q8" s="290"/>
      <c r="R8" s="290"/>
    </row>
    <row r="9" spans="1:18" x14ac:dyDescent="0.2">
      <c r="A9" s="290"/>
      <c r="B9" s="290" t="str">
        <f>"Public comps EV/Sales range " &amp;TEXT(H9,"0.0x")&amp;"-"&amp;TEXT(I9,"0.0x")</f>
        <v>Public comps EV/Sales range 1.9x-2.2x</v>
      </c>
      <c r="C9" s="290"/>
      <c r="D9" s="135">
        <f>TAP_Comps!D31</f>
        <v>77.036370769459495</v>
      </c>
      <c r="E9" s="296">
        <f>F9-D9</f>
        <v>19.196695727920186</v>
      </c>
      <c r="F9" s="135">
        <f>TAP_Comps!D32</f>
        <v>96.233066497379681</v>
      </c>
      <c r="G9" s="290"/>
      <c r="H9" s="306">
        <f>TAP_Comps!H31</f>
        <v>1.85</v>
      </c>
      <c r="I9" s="306">
        <f>TAP_Comps!H32</f>
        <v>2.1833333333333336</v>
      </c>
      <c r="J9" s="290"/>
      <c r="K9" s="292">
        <v>45.13</v>
      </c>
      <c r="L9" s="290"/>
      <c r="O9" s="290"/>
      <c r="P9" s="290"/>
      <c r="Q9" s="290"/>
      <c r="R9" s="290"/>
    </row>
    <row r="10" spans="1:18" x14ac:dyDescent="0.2">
      <c r="A10" s="290"/>
      <c r="B10" s="290" t="str">
        <f>"Public comps Forward PEG range " &amp;TEXT(H10,"0.0x")&amp;"-"&amp;TEXT(I10,"0.0x")</f>
        <v>Public comps Forward PEG range 8.5x-9.0x</v>
      </c>
      <c r="C10" s="290"/>
      <c r="D10" s="135">
        <f>TAP_Comps!D39</f>
        <v>45.991160934452921</v>
      </c>
      <c r="E10" s="296">
        <f>F10-D10</f>
        <v>2.4480091584610904</v>
      </c>
      <c r="F10" s="135">
        <f>TAP_Comps!D40</f>
        <v>48.439170092914011</v>
      </c>
      <c r="G10" s="290"/>
      <c r="H10" s="306">
        <f>TAP_Comps!O39</f>
        <v>8.5017674013703282</v>
      </c>
      <c r="I10" s="306">
        <f>TAP_Comps!O40</f>
        <v>8.9542979319938656</v>
      </c>
      <c r="J10" s="290"/>
      <c r="K10" s="292">
        <v>45.13</v>
      </c>
      <c r="L10" s="290"/>
      <c r="O10" s="290"/>
      <c r="P10" s="290"/>
      <c r="Q10" s="290"/>
      <c r="R10" s="290"/>
    </row>
    <row r="11" spans="1:18" x14ac:dyDescent="0.2">
      <c r="A11" s="290"/>
      <c r="B11" s="290" t="str">
        <f>"DCF w/ perpetuity growth range "   &amp;TEXT(H11,"0.0%")&amp;"-"&amp;TEXT(I11,"0.0%")</f>
        <v>DCF w/ perpetuity growth range 0.5%-4.0%</v>
      </c>
      <c r="C11" s="290"/>
      <c r="D11" s="135">
        <f>TAP_DCF!H146</f>
        <v>81.775834717401139</v>
      </c>
      <c r="E11" s="296">
        <f>F11-D11</f>
        <v>124.52481353844492</v>
      </c>
      <c r="F11" s="135">
        <f>TAP_DCF!H153</f>
        <v>206.30064825584606</v>
      </c>
      <c r="G11" s="290"/>
      <c r="H11" s="307">
        <f>TAP_DCF!C146</f>
        <v>5.0000000000000001E-3</v>
      </c>
      <c r="I11" s="307">
        <f>TAP_DCF!C153</f>
        <v>0.04</v>
      </c>
      <c r="J11" s="290"/>
      <c r="K11" s="292">
        <v>45.13</v>
      </c>
      <c r="L11" s="290"/>
      <c r="O11" s="290"/>
      <c r="P11" s="290"/>
      <c r="Q11" s="290"/>
      <c r="R11" s="290"/>
    </row>
    <row r="12" spans="1:18" x14ac:dyDescent="0.2">
      <c r="A12" s="290"/>
      <c r="B12" s="290" t="str">
        <f>"DCF w/ EBITDA exit multiple range " &amp;TEXT(H12,"0.0x")&amp;"-"&amp;TEXT(I12,"0.0x")</f>
        <v>DCF w/ EBITDA exit multiple range 4.6x-11.6x</v>
      </c>
      <c r="C12" s="290"/>
      <c r="D12" s="305">
        <f>TAP_DCF!E159</f>
        <v>39.891797788636197</v>
      </c>
      <c r="E12" s="296">
        <f>F12-D12</f>
        <v>64.192618613731867</v>
      </c>
      <c r="F12" s="135">
        <f>TAP_DCF!L159</f>
        <v>104.08441640236806</v>
      </c>
      <c r="G12" s="290"/>
      <c r="H12" s="306">
        <f>TAP_DCF!E158</f>
        <v>4.5999999999999996</v>
      </c>
      <c r="I12" s="306">
        <f>TAP_DCF!L158</f>
        <v>11.6</v>
      </c>
      <c r="J12" s="290"/>
      <c r="K12" s="292">
        <v>45.13</v>
      </c>
      <c r="L12" s="290"/>
      <c r="O12" s="290"/>
      <c r="P12" s="290"/>
      <c r="Q12" s="290"/>
      <c r="R12" s="290"/>
    </row>
    <row r="13" spans="1:18" x14ac:dyDescent="0.2">
      <c r="A13" s="290"/>
      <c r="B13" s="290" t="s">
        <v>545</v>
      </c>
      <c r="C13" s="290"/>
      <c r="D13" s="292">
        <v>42.94</v>
      </c>
      <c r="E13" s="296">
        <f>F13-D13</f>
        <v>21.72</v>
      </c>
      <c r="F13" s="292">
        <v>64.66</v>
      </c>
      <c r="G13" s="290"/>
      <c r="H13" s="290"/>
      <c r="I13" s="290"/>
      <c r="J13" s="290"/>
      <c r="K13" s="292">
        <v>45.13</v>
      </c>
      <c r="L13" s="290"/>
      <c r="O13" s="290"/>
      <c r="P13" s="290"/>
      <c r="Q13" s="290"/>
      <c r="R13" s="290"/>
    </row>
    <row r="14" spans="1:18" x14ac:dyDescent="0.2">
      <c r="A14" s="290"/>
      <c r="B14" s="290"/>
      <c r="C14" s="290"/>
      <c r="D14" s="290"/>
      <c r="E14" s="290"/>
      <c r="F14" s="290"/>
      <c r="G14" s="290"/>
      <c r="H14" s="290"/>
      <c r="I14" s="290"/>
      <c r="J14" s="290"/>
      <c r="K14" s="290"/>
      <c r="L14" s="290"/>
      <c r="M14" s="290"/>
      <c r="N14" s="290"/>
      <c r="O14" s="290"/>
      <c r="P14" s="290"/>
      <c r="Q14" s="290"/>
      <c r="R14" s="290"/>
    </row>
    <row r="15" spans="1:18" x14ac:dyDescent="0.2">
      <c r="A15" s="290"/>
      <c r="B15" s="290"/>
      <c r="C15" s="290"/>
      <c r="D15" s="290"/>
      <c r="E15" s="290"/>
      <c r="F15" s="290"/>
      <c r="G15" s="290"/>
      <c r="H15" s="290"/>
      <c r="I15" s="290"/>
      <c r="J15" s="290"/>
      <c r="K15" s="290"/>
      <c r="L15" s="290"/>
      <c r="M15" s="290"/>
      <c r="N15" s="290"/>
      <c r="O15" s="290"/>
      <c r="P15" s="290"/>
      <c r="Q15" s="290"/>
      <c r="R15" s="290"/>
    </row>
    <row r="16" spans="1:18" x14ac:dyDescent="0.2">
      <c r="A16" s="290"/>
      <c r="B16" s="290"/>
      <c r="C16" s="290"/>
      <c r="D16" s="290"/>
      <c r="E16" s="290"/>
      <c r="F16" s="290"/>
      <c r="G16" s="290"/>
      <c r="H16" s="290"/>
      <c r="I16" s="290"/>
      <c r="J16" s="290"/>
      <c r="K16" s="290"/>
      <c r="L16" s="290"/>
      <c r="M16" s="290"/>
      <c r="N16" s="290"/>
      <c r="O16" s="290"/>
      <c r="P16" s="290"/>
      <c r="Q16" s="290"/>
      <c r="R16" s="290"/>
    </row>
    <row r="17" spans="1:18" x14ac:dyDescent="0.2">
      <c r="A17" s="290"/>
      <c r="B17" s="290"/>
      <c r="C17" s="290"/>
      <c r="D17" s="290"/>
      <c r="E17" s="290"/>
      <c r="F17" s="290"/>
      <c r="G17" s="290"/>
      <c r="H17" s="290"/>
      <c r="I17" s="290"/>
      <c r="J17" s="290"/>
      <c r="K17" s="290"/>
      <c r="L17" s="290"/>
      <c r="M17" s="290"/>
      <c r="N17" s="290"/>
      <c r="O17" s="290"/>
      <c r="P17" s="290"/>
      <c r="Q17" s="290"/>
      <c r="R17" s="290"/>
    </row>
    <row r="18" spans="1:18" x14ac:dyDescent="0.2">
      <c r="A18" s="290"/>
      <c r="B18" s="290"/>
      <c r="C18" s="290"/>
      <c r="D18" s="290"/>
      <c r="E18" s="290"/>
      <c r="F18" s="290"/>
      <c r="G18" s="290"/>
      <c r="H18" s="290"/>
      <c r="I18" s="290"/>
      <c r="J18" s="290"/>
      <c r="K18" s="290"/>
      <c r="L18" s="290"/>
      <c r="M18" s="290"/>
      <c r="N18" s="290"/>
      <c r="O18" s="290"/>
      <c r="P18" s="290"/>
      <c r="Q18" s="290"/>
      <c r="R18" s="290"/>
    </row>
    <row r="19" spans="1:18" x14ac:dyDescent="0.2">
      <c r="A19" s="290"/>
      <c r="B19" s="290"/>
      <c r="C19" s="290"/>
      <c r="D19" s="290"/>
      <c r="E19" s="290"/>
      <c r="F19" s="290"/>
      <c r="G19" s="290"/>
      <c r="H19" s="290"/>
      <c r="I19" s="290"/>
      <c r="J19" s="290"/>
      <c r="K19" s="290"/>
      <c r="L19" s="290"/>
      <c r="M19" s="290"/>
      <c r="N19" s="290"/>
      <c r="O19" s="290"/>
      <c r="P19" s="290"/>
      <c r="Q19" s="290"/>
      <c r="R19" s="290"/>
    </row>
    <row r="20" spans="1:18" x14ac:dyDescent="0.2">
      <c r="A20" s="290"/>
      <c r="B20" s="290"/>
      <c r="C20" s="290"/>
      <c r="D20" s="290"/>
      <c r="E20" s="290"/>
      <c r="F20" s="290"/>
      <c r="G20" s="290"/>
      <c r="H20" s="290"/>
      <c r="I20" s="290"/>
      <c r="J20" s="290"/>
      <c r="K20" s="290"/>
      <c r="L20" s="290"/>
      <c r="M20" s="290"/>
      <c r="N20" s="290"/>
      <c r="O20" s="290"/>
      <c r="P20" s="290"/>
      <c r="Q20" s="290"/>
      <c r="R20" s="290"/>
    </row>
    <row r="21" spans="1:18" x14ac:dyDescent="0.2">
      <c r="A21" s="290"/>
      <c r="B21" s="290"/>
      <c r="C21" s="290"/>
      <c r="D21" s="290"/>
      <c r="E21" s="290"/>
      <c r="F21" s="290"/>
      <c r="G21" s="290"/>
      <c r="H21" s="290"/>
      <c r="I21" s="290"/>
      <c r="J21" s="290"/>
      <c r="K21" s="290"/>
      <c r="L21" s="290"/>
      <c r="M21" s="290"/>
      <c r="N21" s="290"/>
      <c r="O21" s="290"/>
      <c r="P21" s="290"/>
      <c r="Q21" s="290"/>
      <c r="R21" s="290"/>
    </row>
    <row r="22" spans="1:18" x14ac:dyDescent="0.2">
      <c r="A22" s="290"/>
      <c r="B22" s="290"/>
      <c r="C22" s="290"/>
      <c r="D22" s="290"/>
      <c r="E22" s="290"/>
      <c r="F22" s="290"/>
      <c r="G22" s="290"/>
      <c r="H22" s="290"/>
      <c r="I22" s="290"/>
      <c r="J22" s="290"/>
      <c r="K22" s="290"/>
      <c r="L22" s="290"/>
      <c r="M22" s="290"/>
      <c r="N22" s="290"/>
      <c r="O22" s="290"/>
      <c r="P22" s="290"/>
      <c r="Q22" s="290"/>
      <c r="R22" s="293"/>
    </row>
    <row r="23" spans="1:18" x14ac:dyDescent="0.2">
      <c r="A23" s="290"/>
      <c r="B23" s="290"/>
      <c r="C23" s="290"/>
      <c r="D23" s="290"/>
      <c r="E23" s="290"/>
      <c r="F23" s="290"/>
      <c r="G23" s="290"/>
      <c r="H23" s="290"/>
      <c r="I23" s="290"/>
      <c r="J23" s="290"/>
      <c r="K23" s="290"/>
      <c r="L23" s="290"/>
      <c r="M23" s="290"/>
      <c r="N23" s="290"/>
      <c r="O23" s="290"/>
      <c r="P23" s="290"/>
      <c r="Q23" s="290"/>
      <c r="R23" s="293"/>
    </row>
  </sheetData>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12B00B-F0D9-454A-B9F8-8450CC438C58}">
  <sheetPr codeName="Sheet2">
    <outlinePr summaryBelow="0" summaryRight="0"/>
    <pageSetUpPr autoPageBreaks="0"/>
  </sheetPr>
  <dimension ref="A1:IT116"/>
  <sheetViews>
    <sheetView topLeftCell="J1" zoomScale="159" workbookViewId="0">
      <selection activeCell="A17" sqref="A17"/>
    </sheetView>
  </sheetViews>
  <sheetFormatPr baseColWidth="10" defaultColWidth="10.83203125" defaultRowHeight="11" x14ac:dyDescent="0.15"/>
  <cols>
    <col min="1" max="1" width="45.83203125" style="1" customWidth="1"/>
    <col min="2" max="6" width="14.83203125" style="1" customWidth="1"/>
    <col min="7" max="255" width="8.83203125" style="1" customWidth="1"/>
    <col min="256" max="16384" width="10.83203125" style="1"/>
  </cols>
  <sheetData>
    <row r="1" spans="1:254" ht="17" x14ac:dyDescent="0.2">
      <c r="A1" s="23" t="s">
        <v>112</v>
      </c>
    </row>
    <row r="3" spans="1:254" ht="12" x14ac:dyDescent="0.15">
      <c r="A3" s="22" t="s">
        <v>111</v>
      </c>
      <c r="B3" s="20" t="s">
        <v>110</v>
      </c>
      <c r="C3" s="1" t="s">
        <v>109</v>
      </c>
      <c r="D3" s="5" t="s">
        <v>92</v>
      </c>
      <c r="E3" s="20" t="s">
        <v>108</v>
      </c>
      <c r="F3" s="1" t="s">
        <v>107</v>
      </c>
    </row>
    <row r="4" spans="1:254" x14ac:dyDescent="0.15">
      <c r="A4" s="5"/>
      <c r="B4" s="20" t="s">
        <v>106</v>
      </c>
      <c r="C4" s="1" t="s">
        <v>105</v>
      </c>
      <c r="D4" s="5" t="s">
        <v>92</v>
      </c>
      <c r="E4" s="20" t="s">
        <v>104</v>
      </c>
      <c r="F4" s="1" t="s">
        <v>103</v>
      </c>
    </row>
    <row r="5" spans="1:254" x14ac:dyDescent="0.15">
      <c r="A5" s="5"/>
      <c r="B5" s="20" t="s">
        <v>102</v>
      </c>
      <c r="C5" s="1" t="s">
        <v>101</v>
      </c>
      <c r="D5" s="5" t="s">
        <v>92</v>
      </c>
      <c r="E5" s="20" t="s">
        <v>100</v>
      </c>
      <c r="F5" s="1" t="s">
        <v>99</v>
      </c>
    </row>
    <row r="6" spans="1:254" x14ac:dyDescent="0.15">
      <c r="A6" s="5"/>
      <c r="B6" s="20" t="s">
        <v>98</v>
      </c>
      <c r="C6" s="1" t="s">
        <v>97</v>
      </c>
      <c r="D6" s="5" t="s">
        <v>92</v>
      </c>
      <c r="E6" s="20" t="s">
        <v>96</v>
      </c>
      <c r="F6" s="21" t="s">
        <v>95</v>
      </c>
    </row>
    <row r="7" spans="1:254" x14ac:dyDescent="0.15">
      <c r="A7" s="5"/>
      <c r="B7" s="20" t="s">
        <v>94</v>
      </c>
      <c r="C7" s="1" t="s">
        <v>93</v>
      </c>
      <c r="D7" s="5" t="s">
        <v>92</v>
      </c>
      <c r="E7" s="19"/>
      <c r="F7" s="19"/>
    </row>
    <row r="10" spans="1:254" x14ac:dyDescent="0.15">
      <c r="A10" s="18" t="s">
        <v>91</v>
      </c>
      <c r="B10" s="18"/>
      <c r="C10" s="18"/>
      <c r="D10" s="18"/>
      <c r="E10" s="18"/>
      <c r="F10" s="18"/>
      <c r="G10" s="17"/>
      <c r="H10" s="17"/>
      <c r="I10" s="17"/>
      <c r="J10" s="17"/>
      <c r="K10" s="17"/>
      <c r="L10" s="17"/>
      <c r="M10" s="17"/>
      <c r="N10" s="17"/>
      <c r="O10" s="17"/>
      <c r="P10" s="17"/>
      <c r="Q10" s="17"/>
      <c r="R10" s="17"/>
      <c r="S10" s="17"/>
      <c r="T10" s="17"/>
      <c r="U10" s="17"/>
      <c r="V10" s="17"/>
      <c r="W10" s="17"/>
      <c r="X10" s="17"/>
      <c r="Y10" s="17"/>
      <c r="Z10" s="17"/>
      <c r="AA10" s="17"/>
      <c r="AB10" s="17"/>
      <c r="AC10" s="17"/>
      <c r="AD10" s="17"/>
      <c r="AE10" s="17"/>
      <c r="AF10" s="17"/>
      <c r="AG10" s="17"/>
      <c r="AH10" s="17"/>
      <c r="AI10" s="17"/>
      <c r="AJ10" s="17"/>
      <c r="AK10" s="17"/>
      <c r="AL10" s="17"/>
      <c r="AM10" s="17"/>
      <c r="AN10" s="17"/>
      <c r="AO10" s="17"/>
      <c r="AP10" s="17"/>
      <c r="AQ10" s="17"/>
      <c r="AR10" s="17"/>
      <c r="AS10" s="17"/>
      <c r="AT10" s="17"/>
      <c r="AU10" s="17"/>
      <c r="AV10" s="17"/>
      <c r="AW10" s="17"/>
      <c r="AX10" s="17"/>
      <c r="AY10" s="17"/>
      <c r="AZ10" s="17"/>
      <c r="BA10" s="17"/>
      <c r="BB10" s="17"/>
      <c r="BC10" s="17"/>
      <c r="BD10" s="17"/>
      <c r="BE10" s="17"/>
      <c r="BF10" s="17"/>
      <c r="BG10" s="17"/>
      <c r="BH10" s="17"/>
      <c r="BI10" s="17"/>
      <c r="BJ10" s="17"/>
      <c r="BK10" s="17"/>
      <c r="BL10" s="17"/>
      <c r="BM10" s="17"/>
      <c r="BN10" s="17"/>
      <c r="BO10" s="17"/>
      <c r="BP10" s="17"/>
      <c r="BQ10" s="17"/>
      <c r="BR10" s="17"/>
      <c r="BS10" s="17"/>
      <c r="BT10" s="17"/>
      <c r="BU10" s="17"/>
      <c r="BV10" s="17"/>
      <c r="BW10" s="17"/>
      <c r="BX10" s="17"/>
      <c r="BY10" s="17"/>
      <c r="BZ10" s="17"/>
      <c r="CA10" s="17"/>
      <c r="CB10" s="17"/>
      <c r="CC10" s="17"/>
      <c r="CD10" s="17"/>
      <c r="CE10" s="17"/>
      <c r="CF10" s="17"/>
      <c r="CG10" s="17"/>
      <c r="CH10" s="17"/>
      <c r="CI10" s="17"/>
      <c r="CJ10" s="17"/>
      <c r="CK10" s="17"/>
      <c r="CL10" s="17"/>
      <c r="CM10" s="17"/>
      <c r="CN10" s="17"/>
      <c r="CO10" s="17"/>
      <c r="CP10" s="17"/>
      <c r="CQ10" s="17"/>
      <c r="CR10" s="17"/>
      <c r="CS10" s="17"/>
      <c r="CT10" s="17"/>
      <c r="CU10" s="17"/>
      <c r="CV10" s="17"/>
      <c r="CW10" s="17"/>
      <c r="CX10" s="17"/>
      <c r="CY10" s="17"/>
      <c r="CZ10" s="17"/>
      <c r="DA10" s="17"/>
      <c r="DB10" s="17"/>
      <c r="DC10" s="17"/>
      <c r="DD10" s="17"/>
      <c r="DE10" s="17"/>
      <c r="DF10" s="17"/>
      <c r="DG10" s="17"/>
      <c r="DH10" s="17"/>
      <c r="DI10" s="17"/>
      <c r="DJ10" s="17"/>
      <c r="DK10" s="17"/>
      <c r="DL10" s="17"/>
      <c r="DM10" s="17"/>
      <c r="DN10" s="17"/>
      <c r="DO10" s="17"/>
      <c r="DP10" s="17"/>
      <c r="DQ10" s="17"/>
      <c r="DR10" s="17"/>
      <c r="DS10" s="17"/>
      <c r="DT10" s="17"/>
      <c r="DU10" s="17"/>
      <c r="DV10" s="17"/>
      <c r="DW10" s="17"/>
      <c r="DX10" s="17"/>
      <c r="DY10" s="17"/>
      <c r="DZ10" s="17"/>
      <c r="EA10" s="17"/>
      <c r="EB10" s="17"/>
      <c r="EC10" s="17"/>
      <c r="ED10" s="17"/>
      <c r="EE10" s="17"/>
      <c r="EF10" s="17"/>
      <c r="EG10" s="17"/>
      <c r="EH10" s="17"/>
      <c r="EI10" s="17"/>
      <c r="EJ10" s="17"/>
      <c r="EK10" s="17"/>
      <c r="EL10" s="17"/>
      <c r="EM10" s="17"/>
      <c r="EN10" s="17"/>
      <c r="EO10" s="17"/>
      <c r="EP10" s="17"/>
      <c r="EQ10" s="17"/>
      <c r="ER10" s="17"/>
      <c r="ES10" s="17"/>
      <c r="ET10" s="17"/>
      <c r="EU10" s="17"/>
      <c r="EV10" s="17"/>
      <c r="EW10" s="17"/>
      <c r="EX10" s="17"/>
      <c r="EY10" s="17"/>
      <c r="EZ10" s="17"/>
      <c r="FA10" s="17"/>
      <c r="FB10" s="17"/>
      <c r="FC10" s="17"/>
      <c r="FD10" s="17"/>
      <c r="FE10" s="17"/>
      <c r="FF10" s="17"/>
      <c r="FG10" s="17"/>
      <c r="FH10" s="17"/>
      <c r="FI10" s="17"/>
      <c r="FJ10" s="17"/>
      <c r="FK10" s="17"/>
      <c r="FL10" s="17"/>
      <c r="FM10" s="17"/>
      <c r="FN10" s="17"/>
      <c r="FO10" s="17"/>
      <c r="FP10" s="17"/>
      <c r="FQ10" s="17"/>
      <c r="FR10" s="17"/>
      <c r="FS10" s="17"/>
      <c r="FT10" s="17"/>
      <c r="FU10" s="17"/>
      <c r="FV10" s="17"/>
      <c r="FW10" s="17"/>
      <c r="FX10" s="17"/>
      <c r="FY10" s="17"/>
      <c r="FZ10" s="17"/>
      <c r="GA10" s="17"/>
      <c r="GB10" s="17"/>
      <c r="GC10" s="17"/>
      <c r="GD10" s="17"/>
      <c r="GE10" s="17"/>
      <c r="GF10" s="17"/>
      <c r="GG10" s="17"/>
      <c r="GH10" s="17"/>
      <c r="GI10" s="17"/>
      <c r="GJ10" s="17"/>
      <c r="GK10" s="17"/>
      <c r="GL10" s="17"/>
      <c r="GM10" s="17"/>
      <c r="GN10" s="17"/>
      <c r="GO10" s="17"/>
      <c r="GP10" s="17"/>
      <c r="GQ10" s="17"/>
      <c r="GR10" s="17"/>
      <c r="GS10" s="17"/>
      <c r="GT10" s="17"/>
      <c r="GU10" s="17"/>
      <c r="GV10" s="17"/>
      <c r="GW10" s="17"/>
      <c r="GX10" s="17"/>
      <c r="GY10" s="17"/>
      <c r="GZ10" s="17"/>
      <c r="HA10" s="17"/>
      <c r="HB10" s="17"/>
      <c r="HC10" s="17"/>
      <c r="HD10" s="17"/>
      <c r="HE10" s="17"/>
      <c r="HF10" s="17"/>
      <c r="HG10" s="17"/>
      <c r="HH10" s="17"/>
      <c r="HI10" s="17"/>
      <c r="HJ10" s="17"/>
      <c r="HK10" s="17"/>
      <c r="HL10" s="17"/>
      <c r="HM10" s="17"/>
      <c r="HN10" s="17"/>
      <c r="HO10" s="17"/>
      <c r="HP10" s="17"/>
      <c r="HQ10" s="17"/>
      <c r="HR10" s="17"/>
      <c r="HS10" s="17"/>
      <c r="HT10" s="17"/>
      <c r="HU10" s="17"/>
      <c r="HV10" s="17"/>
      <c r="HW10" s="17"/>
      <c r="HX10" s="17"/>
      <c r="HY10" s="17"/>
      <c r="HZ10" s="17"/>
      <c r="IA10" s="17"/>
      <c r="IB10" s="17"/>
      <c r="IC10" s="17"/>
      <c r="ID10" s="17"/>
      <c r="IE10" s="17"/>
      <c r="IF10" s="17"/>
      <c r="IG10" s="17"/>
      <c r="IH10" s="17"/>
      <c r="II10" s="17"/>
      <c r="IJ10" s="17"/>
      <c r="IK10" s="17"/>
      <c r="IL10" s="17"/>
      <c r="IM10" s="17"/>
      <c r="IN10" s="17"/>
      <c r="IO10" s="17"/>
      <c r="IP10" s="17"/>
      <c r="IQ10" s="17"/>
      <c r="IR10" s="17"/>
      <c r="IS10" s="17"/>
      <c r="IT10" s="17"/>
    </row>
    <row r="11" spans="1:254" ht="24" x14ac:dyDescent="0.15">
      <c r="A11" s="27" t="s">
        <v>90</v>
      </c>
      <c r="B11" s="28">
        <v>2020</v>
      </c>
      <c r="C11" s="28">
        <f>B11+1</f>
        <v>2021</v>
      </c>
      <c r="D11" s="28">
        <f t="shared" ref="D11:F11" si="0">C11+1</f>
        <v>2022</v>
      </c>
      <c r="E11" s="28">
        <f t="shared" si="0"/>
        <v>2023</v>
      </c>
      <c r="F11" s="28">
        <f t="shared" si="0"/>
        <v>2024</v>
      </c>
    </row>
    <row r="12" spans="1:254" ht="12" x14ac:dyDescent="0.15">
      <c r="A12" s="29" t="s">
        <v>89</v>
      </c>
      <c r="B12" s="30" t="s">
        <v>88</v>
      </c>
      <c r="C12" s="30" t="s">
        <v>88</v>
      </c>
      <c r="D12" s="30" t="s">
        <v>88</v>
      </c>
      <c r="E12" s="30" t="s">
        <v>88</v>
      </c>
      <c r="F12" s="30" t="s">
        <v>88</v>
      </c>
    </row>
    <row r="13" spans="1:254" x14ac:dyDescent="0.15">
      <c r="A13" s="5" t="s">
        <v>87</v>
      </c>
      <c r="B13" s="8">
        <v>9654</v>
      </c>
      <c r="C13" s="8">
        <v>10279.700000000001</v>
      </c>
      <c r="D13" s="8">
        <v>10701</v>
      </c>
      <c r="E13" s="8">
        <v>11702.1</v>
      </c>
      <c r="F13" s="8">
        <v>11627</v>
      </c>
    </row>
    <row r="14" spans="1:254" ht="12" x14ac:dyDescent="0.15">
      <c r="A14" s="5" t="s">
        <v>86</v>
      </c>
      <c r="B14" s="8" t="s">
        <v>4</v>
      </c>
      <c r="C14" s="8" t="s">
        <v>4</v>
      </c>
      <c r="D14" s="8" t="s">
        <v>4</v>
      </c>
      <c r="E14" s="8" t="s">
        <v>4</v>
      </c>
      <c r="F14" s="8" t="s">
        <v>4</v>
      </c>
    </row>
    <row r="15" spans="1:254" x14ac:dyDescent="0.15">
      <c r="A15" s="7" t="s">
        <v>85</v>
      </c>
      <c r="B15" s="16">
        <v>9654</v>
      </c>
      <c r="C15" s="16">
        <v>10279.700000000001</v>
      </c>
      <c r="D15" s="16">
        <v>10701</v>
      </c>
      <c r="E15" s="16">
        <v>11702.1</v>
      </c>
      <c r="F15" s="16">
        <v>11627</v>
      </c>
    </row>
    <row r="16" spans="1:254" x14ac:dyDescent="0.15">
      <c r="A16" s="5"/>
      <c r="B16" s="5"/>
      <c r="C16" s="5"/>
      <c r="D16" s="5"/>
      <c r="E16" s="5"/>
      <c r="F16" s="5"/>
    </row>
    <row r="17" spans="1:6" x14ac:dyDescent="0.15">
      <c r="A17" s="5" t="s">
        <v>84</v>
      </c>
      <c r="B17" s="8">
        <v>5858.1</v>
      </c>
      <c r="C17" s="8">
        <v>6226.3</v>
      </c>
      <c r="D17" s="8">
        <v>7045.8</v>
      </c>
      <c r="E17" s="8">
        <v>7333.3</v>
      </c>
      <c r="F17" s="8">
        <v>7093.6</v>
      </c>
    </row>
    <row r="18" spans="1:6" x14ac:dyDescent="0.15">
      <c r="A18" s="7" t="s">
        <v>83</v>
      </c>
      <c r="B18" s="16">
        <v>3795.9</v>
      </c>
      <c r="C18" s="16">
        <v>4053.4</v>
      </c>
      <c r="D18" s="16">
        <v>3655.2</v>
      </c>
      <c r="E18" s="16">
        <v>4368.8</v>
      </c>
      <c r="F18" s="16">
        <v>4533.3999999999996</v>
      </c>
    </row>
    <row r="19" spans="1:6" x14ac:dyDescent="0.15">
      <c r="A19" s="5"/>
      <c r="B19" s="5"/>
      <c r="C19" s="5"/>
      <c r="D19" s="5"/>
      <c r="E19" s="5"/>
      <c r="F19" s="5"/>
    </row>
    <row r="20" spans="1:6" x14ac:dyDescent="0.15">
      <c r="A20" s="5" t="s">
        <v>82</v>
      </c>
      <c r="B20" s="8">
        <v>2186.6999999999998</v>
      </c>
      <c r="C20" s="8">
        <v>2290.1</v>
      </c>
      <c r="D20" s="8">
        <v>2318.1</v>
      </c>
      <c r="E20" s="8">
        <v>2562.4</v>
      </c>
      <c r="F20" s="8">
        <v>2516.1</v>
      </c>
    </row>
    <row r="21" spans="1:6" ht="12" x14ac:dyDescent="0.15">
      <c r="A21" s="5" t="s">
        <v>81</v>
      </c>
      <c r="B21" s="8" t="s">
        <v>4</v>
      </c>
      <c r="C21" s="8" t="s">
        <v>4</v>
      </c>
      <c r="D21" s="8" t="s">
        <v>4</v>
      </c>
      <c r="E21" s="8" t="s">
        <v>4</v>
      </c>
      <c r="F21" s="8" t="s">
        <v>4</v>
      </c>
    </row>
    <row r="22" spans="1:6" ht="12" x14ac:dyDescent="0.15">
      <c r="A22" s="5" t="s">
        <v>80</v>
      </c>
      <c r="B22" s="8" t="s">
        <v>4</v>
      </c>
      <c r="C22" s="8" t="s">
        <v>4</v>
      </c>
      <c r="D22" s="8" t="s">
        <v>4</v>
      </c>
      <c r="E22" s="8" t="s">
        <v>4</v>
      </c>
      <c r="F22" s="8" t="s">
        <v>4</v>
      </c>
    </row>
    <row r="23" spans="1:6" x14ac:dyDescent="0.15">
      <c r="A23" s="5" t="s">
        <v>79</v>
      </c>
      <c r="B23" s="8">
        <v>220</v>
      </c>
      <c r="C23" s="8">
        <v>218</v>
      </c>
      <c r="D23" s="8">
        <v>208.1</v>
      </c>
      <c r="E23" s="8">
        <v>207.3</v>
      </c>
      <c r="F23" s="8">
        <v>206.4</v>
      </c>
    </row>
    <row r="24" spans="1:6" ht="12" x14ac:dyDescent="0.15">
      <c r="A24" s="5" t="s">
        <v>78</v>
      </c>
      <c r="B24" s="8" t="s">
        <v>4</v>
      </c>
      <c r="C24" s="8" t="s">
        <v>4</v>
      </c>
      <c r="D24" s="8" t="s">
        <v>4</v>
      </c>
      <c r="E24" s="8" t="s">
        <v>4</v>
      </c>
      <c r="F24" s="8" t="s">
        <v>4</v>
      </c>
    </row>
    <row r="25" spans="1:6" x14ac:dyDescent="0.15">
      <c r="A25" s="5"/>
      <c r="B25" s="5"/>
      <c r="C25" s="5"/>
      <c r="D25" s="5"/>
      <c r="E25" s="5"/>
      <c r="F25" s="5"/>
    </row>
    <row r="26" spans="1:6" x14ac:dyDescent="0.15">
      <c r="A26" s="7" t="s">
        <v>77</v>
      </c>
      <c r="B26" s="16">
        <v>2406.6999999999998</v>
      </c>
      <c r="C26" s="16">
        <v>2508.1</v>
      </c>
      <c r="D26" s="16">
        <v>2526.1999999999998</v>
      </c>
      <c r="E26" s="16">
        <v>2769.7</v>
      </c>
      <c r="F26" s="16">
        <v>2722.5</v>
      </c>
    </row>
    <row r="27" spans="1:6" x14ac:dyDescent="0.15">
      <c r="A27" s="5"/>
      <c r="B27" s="5"/>
      <c r="C27" s="5"/>
      <c r="D27" s="5"/>
      <c r="E27" s="5"/>
      <c r="F27" s="5"/>
    </row>
    <row r="28" spans="1:6" x14ac:dyDescent="0.15">
      <c r="A28" s="7" t="s">
        <v>76</v>
      </c>
      <c r="B28" s="6">
        <v>1389.2</v>
      </c>
      <c r="C28" s="6">
        <v>1545.3</v>
      </c>
      <c r="D28" s="6">
        <v>1129</v>
      </c>
      <c r="E28" s="6">
        <v>1599.1</v>
      </c>
      <c r="F28" s="6">
        <v>1810.9</v>
      </c>
    </row>
    <row r="29" spans="1:6" x14ac:dyDescent="0.15">
      <c r="A29" s="5"/>
      <c r="B29" s="5"/>
      <c r="C29" s="5"/>
      <c r="D29" s="5"/>
      <c r="E29" s="5"/>
      <c r="F29" s="5"/>
    </row>
    <row r="30" spans="1:6" x14ac:dyDescent="0.15">
      <c r="A30" s="5" t="s">
        <v>75</v>
      </c>
      <c r="B30" s="8">
        <v>-274.60000000000002</v>
      </c>
      <c r="C30" s="8">
        <v>-260.3</v>
      </c>
      <c r="D30" s="8">
        <v>-250.6</v>
      </c>
      <c r="E30" s="8">
        <v>-234</v>
      </c>
      <c r="F30" s="8">
        <v>-282.7</v>
      </c>
    </row>
    <row r="31" spans="1:6" x14ac:dyDescent="0.15">
      <c r="A31" s="5" t="s">
        <v>74</v>
      </c>
      <c r="B31" s="8">
        <v>3.3</v>
      </c>
      <c r="C31" s="8">
        <v>2</v>
      </c>
      <c r="D31" s="8">
        <v>4.3</v>
      </c>
      <c r="E31" s="8">
        <v>25.4</v>
      </c>
      <c r="F31" s="8">
        <v>35.4</v>
      </c>
    </row>
    <row r="32" spans="1:6" x14ac:dyDescent="0.15">
      <c r="A32" s="7" t="s">
        <v>73</v>
      </c>
      <c r="B32" s="16">
        <v>-271.3</v>
      </c>
      <c r="C32" s="16">
        <v>-258.3</v>
      </c>
      <c r="D32" s="16">
        <v>-246.3</v>
      </c>
      <c r="E32" s="16">
        <v>-208.6</v>
      </c>
      <c r="F32" s="16">
        <v>-247.3</v>
      </c>
    </row>
    <row r="33" spans="1:6" x14ac:dyDescent="0.15">
      <c r="A33" s="5"/>
      <c r="B33" s="5"/>
      <c r="C33" s="5"/>
      <c r="D33" s="5"/>
      <c r="E33" s="5"/>
      <c r="F33" s="5"/>
    </row>
    <row r="34" spans="1:6" ht="12" x14ac:dyDescent="0.15">
      <c r="A34" s="5" t="s">
        <v>72</v>
      </c>
      <c r="B34" s="8" t="s">
        <v>4</v>
      </c>
      <c r="C34" s="8" t="s">
        <v>4</v>
      </c>
      <c r="D34" s="8">
        <v>4.7</v>
      </c>
      <c r="E34" s="8">
        <v>12</v>
      </c>
      <c r="F34" s="8">
        <v>2.7</v>
      </c>
    </row>
    <row r="35" spans="1:6" ht="12" x14ac:dyDescent="0.15">
      <c r="A35" s="5" t="s">
        <v>71</v>
      </c>
      <c r="B35" s="8" t="s">
        <v>4</v>
      </c>
      <c r="C35" s="8">
        <v>0.8</v>
      </c>
      <c r="D35" s="8">
        <v>-0.4</v>
      </c>
      <c r="E35" s="8">
        <v>-3.7</v>
      </c>
      <c r="F35" s="8">
        <v>-0.7</v>
      </c>
    </row>
    <row r="36" spans="1:6" x14ac:dyDescent="0.15">
      <c r="A36" s="5" t="s">
        <v>70</v>
      </c>
      <c r="B36" s="8">
        <v>8.4</v>
      </c>
      <c r="C36" s="8">
        <v>-4</v>
      </c>
      <c r="D36" s="8">
        <v>-9.9</v>
      </c>
      <c r="E36" s="8">
        <v>16.399999999999999</v>
      </c>
      <c r="F36" s="8">
        <v>2.8</v>
      </c>
    </row>
    <row r="37" spans="1:6" x14ac:dyDescent="0.15">
      <c r="A37" s="7" t="s">
        <v>69</v>
      </c>
      <c r="B37" s="16">
        <v>1126.3</v>
      </c>
      <c r="C37" s="16">
        <v>1283.8</v>
      </c>
      <c r="D37" s="16">
        <v>877.1</v>
      </c>
      <c r="E37" s="16">
        <v>1415.2</v>
      </c>
      <c r="F37" s="16">
        <v>1568.4</v>
      </c>
    </row>
    <row r="38" spans="1:6" x14ac:dyDescent="0.15">
      <c r="A38" s="5"/>
      <c r="B38" s="5"/>
      <c r="C38" s="5"/>
      <c r="D38" s="5"/>
      <c r="E38" s="5"/>
      <c r="F38" s="5"/>
    </row>
    <row r="39" spans="1:6" x14ac:dyDescent="0.15">
      <c r="A39" s="5" t="s">
        <v>68</v>
      </c>
      <c r="B39" s="8">
        <v>-187.1</v>
      </c>
      <c r="C39" s="8">
        <v>-37.6</v>
      </c>
      <c r="D39" s="8">
        <v>-9.1</v>
      </c>
      <c r="E39" s="8">
        <v>-4.0999999999999996</v>
      </c>
      <c r="F39" s="8">
        <v>-200.4</v>
      </c>
    </row>
    <row r="40" spans="1:6" ht="12" x14ac:dyDescent="0.15">
      <c r="A40" s="5" t="s">
        <v>67</v>
      </c>
      <c r="B40" s="8" t="s">
        <v>4</v>
      </c>
      <c r="C40" s="8" t="s">
        <v>4</v>
      </c>
      <c r="D40" s="8" t="s">
        <v>4</v>
      </c>
      <c r="E40" s="8" t="s">
        <v>4</v>
      </c>
      <c r="F40" s="8" t="s">
        <v>4</v>
      </c>
    </row>
    <row r="41" spans="1:6" ht="12" x14ac:dyDescent="0.15">
      <c r="A41" s="5" t="s">
        <v>66</v>
      </c>
      <c r="B41" s="8">
        <v>-1484.3</v>
      </c>
      <c r="C41" s="8" t="s">
        <v>4</v>
      </c>
      <c r="D41" s="8">
        <v>-845</v>
      </c>
      <c r="E41" s="8" t="s">
        <v>4</v>
      </c>
      <c r="F41" s="8" t="s">
        <v>4</v>
      </c>
    </row>
    <row r="42" spans="1:6" ht="12" x14ac:dyDescent="0.15">
      <c r="A42" s="5" t="s">
        <v>65</v>
      </c>
      <c r="B42" s="8">
        <v>-2.4</v>
      </c>
      <c r="C42" s="8">
        <v>-0.3</v>
      </c>
      <c r="D42" s="8" t="s">
        <v>4</v>
      </c>
      <c r="E42" s="8" t="s">
        <v>4</v>
      </c>
      <c r="F42" s="8">
        <v>77.900000000000006</v>
      </c>
    </row>
    <row r="43" spans="1:6" x14ac:dyDescent="0.15">
      <c r="A43" s="5" t="s">
        <v>64</v>
      </c>
      <c r="B43" s="8">
        <v>2.7</v>
      </c>
      <c r="C43" s="8">
        <v>6.6</v>
      </c>
      <c r="D43" s="8">
        <v>6.8</v>
      </c>
      <c r="E43" s="8">
        <v>2.2000000000000002</v>
      </c>
      <c r="F43" s="8">
        <v>57.1</v>
      </c>
    </row>
    <row r="44" spans="1:6" ht="12" x14ac:dyDescent="0.15">
      <c r="A44" s="5" t="s">
        <v>63</v>
      </c>
      <c r="B44" s="8">
        <v>-71.5</v>
      </c>
      <c r="C44" s="8">
        <v>-13.5</v>
      </c>
      <c r="D44" s="8">
        <v>-36.299999999999997</v>
      </c>
      <c r="E44" s="8">
        <v>-160.80000000000001</v>
      </c>
      <c r="F44" s="8" t="s">
        <v>4</v>
      </c>
    </row>
    <row r="45" spans="1:6" ht="12" x14ac:dyDescent="0.15">
      <c r="A45" s="5" t="s">
        <v>62</v>
      </c>
      <c r="B45" s="8" t="s">
        <v>4</v>
      </c>
      <c r="C45" s="8" t="s">
        <v>4</v>
      </c>
      <c r="D45" s="8">
        <v>-56</v>
      </c>
      <c r="E45" s="8" t="s">
        <v>4</v>
      </c>
      <c r="F45" s="8" t="s">
        <v>4</v>
      </c>
    </row>
    <row r="46" spans="1:6" ht="12" x14ac:dyDescent="0.15">
      <c r="A46" s="5" t="s">
        <v>61</v>
      </c>
      <c r="B46" s="8">
        <v>-27.6</v>
      </c>
      <c r="C46" s="8" t="s">
        <v>4</v>
      </c>
      <c r="D46" s="8" t="s">
        <v>4</v>
      </c>
      <c r="E46" s="8" t="s">
        <v>4</v>
      </c>
      <c r="F46" s="8" t="s">
        <v>4</v>
      </c>
    </row>
    <row r="47" spans="1:6" x14ac:dyDescent="0.15">
      <c r="A47" s="7" t="s">
        <v>60</v>
      </c>
      <c r="B47" s="16">
        <v>-643.9</v>
      </c>
      <c r="C47" s="16">
        <v>1239</v>
      </c>
      <c r="D47" s="16">
        <v>-62.5</v>
      </c>
      <c r="E47" s="16">
        <v>1252.5</v>
      </c>
      <c r="F47" s="16">
        <v>1503</v>
      </c>
    </row>
    <row r="48" spans="1:6" x14ac:dyDescent="0.15">
      <c r="A48" s="5"/>
      <c r="B48" s="5"/>
      <c r="C48" s="5"/>
      <c r="D48" s="5"/>
      <c r="E48" s="5"/>
      <c r="F48" s="5"/>
    </row>
    <row r="49" spans="1:6" x14ac:dyDescent="0.15">
      <c r="A49" s="5" t="s">
        <v>59</v>
      </c>
      <c r="B49" s="8">
        <v>301.8</v>
      </c>
      <c r="C49" s="8">
        <v>230.5</v>
      </c>
      <c r="D49" s="8">
        <v>124</v>
      </c>
      <c r="E49" s="8">
        <v>296.10000000000002</v>
      </c>
      <c r="F49" s="8">
        <v>345.3</v>
      </c>
    </row>
    <row r="50" spans="1:6" x14ac:dyDescent="0.15">
      <c r="A50" s="7" t="s">
        <v>58</v>
      </c>
      <c r="B50" s="16">
        <v>-945.7</v>
      </c>
      <c r="C50" s="16">
        <v>1008.5</v>
      </c>
      <c r="D50" s="16">
        <v>-186.5</v>
      </c>
      <c r="E50" s="16">
        <v>956.4</v>
      </c>
      <c r="F50" s="16">
        <v>1157.7</v>
      </c>
    </row>
    <row r="51" spans="1:6" x14ac:dyDescent="0.15">
      <c r="A51" s="5"/>
      <c r="B51" s="5"/>
      <c r="C51" s="5"/>
      <c r="D51" s="5"/>
      <c r="E51" s="5"/>
      <c r="F51" s="5"/>
    </row>
    <row r="52" spans="1:6" ht="12" x14ac:dyDescent="0.15">
      <c r="A52" s="5" t="s">
        <v>57</v>
      </c>
      <c r="B52" s="8" t="s">
        <v>4</v>
      </c>
      <c r="C52" s="8" t="s">
        <v>4</v>
      </c>
      <c r="D52" s="8" t="s">
        <v>4</v>
      </c>
      <c r="E52" s="8" t="s">
        <v>4</v>
      </c>
      <c r="F52" s="8" t="s">
        <v>4</v>
      </c>
    </row>
    <row r="53" spans="1:6" ht="12" x14ac:dyDescent="0.15">
      <c r="A53" s="5" t="s">
        <v>56</v>
      </c>
      <c r="B53" s="8" t="s">
        <v>4</v>
      </c>
      <c r="C53" s="8" t="s">
        <v>4</v>
      </c>
      <c r="D53" s="8" t="s">
        <v>4</v>
      </c>
      <c r="E53" s="8" t="s">
        <v>4</v>
      </c>
      <c r="F53" s="8" t="s">
        <v>4</v>
      </c>
    </row>
    <row r="54" spans="1:6" x14ac:dyDescent="0.15">
      <c r="A54" s="7" t="s">
        <v>55</v>
      </c>
      <c r="B54" s="16">
        <v>-945.7</v>
      </c>
      <c r="C54" s="16">
        <v>1008.5</v>
      </c>
      <c r="D54" s="16">
        <v>-186.5</v>
      </c>
      <c r="E54" s="16">
        <v>956.4</v>
      </c>
      <c r="F54" s="16">
        <v>1157.7</v>
      </c>
    </row>
    <row r="55" spans="1:6" x14ac:dyDescent="0.15">
      <c r="A55" s="5"/>
      <c r="B55" s="5"/>
      <c r="C55" s="5"/>
      <c r="D55" s="5"/>
      <c r="E55" s="5"/>
      <c r="F55" s="5"/>
    </row>
    <row r="56" spans="1:6" x14ac:dyDescent="0.15">
      <c r="A56" s="5" t="s">
        <v>54</v>
      </c>
      <c r="B56" s="8">
        <v>-3.3</v>
      </c>
      <c r="C56" s="8">
        <v>-2.8</v>
      </c>
      <c r="D56" s="8">
        <v>11.2</v>
      </c>
      <c r="E56" s="8">
        <v>-7.5</v>
      </c>
      <c r="F56" s="8">
        <v>-35.299999999999997</v>
      </c>
    </row>
    <row r="57" spans="1:6" x14ac:dyDescent="0.15">
      <c r="A57" s="7" t="s">
        <v>53</v>
      </c>
      <c r="B57" s="15">
        <v>-949</v>
      </c>
      <c r="C57" s="15">
        <v>1005.7</v>
      </c>
      <c r="D57" s="15">
        <v>-175.3</v>
      </c>
      <c r="E57" s="15">
        <v>948.9</v>
      </c>
      <c r="F57" s="15">
        <v>1122.4000000000001</v>
      </c>
    </row>
    <row r="58" spans="1:6" x14ac:dyDescent="0.15">
      <c r="A58" s="5"/>
      <c r="B58" s="5"/>
      <c r="C58" s="5"/>
      <c r="D58" s="5"/>
      <c r="E58" s="5"/>
      <c r="F58" s="5"/>
    </row>
    <row r="59" spans="1:6" ht="12" x14ac:dyDescent="0.15">
      <c r="A59" s="5" t="s">
        <v>52</v>
      </c>
      <c r="B59" s="8" t="s">
        <v>4</v>
      </c>
      <c r="C59" s="8" t="s">
        <v>4</v>
      </c>
      <c r="D59" s="8" t="s">
        <v>4</v>
      </c>
      <c r="E59" s="8" t="s">
        <v>4</v>
      </c>
      <c r="F59" s="8" t="s">
        <v>4</v>
      </c>
    </row>
    <row r="60" spans="1:6" x14ac:dyDescent="0.15">
      <c r="A60" s="5"/>
      <c r="B60" s="5"/>
      <c r="C60" s="5"/>
      <c r="D60" s="5"/>
      <c r="E60" s="5"/>
      <c r="F60" s="5"/>
    </row>
    <row r="61" spans="1:6" x14ac:dyDescent="0.15">
      <c r="A61" s="7" t="s">
        <v>51</v>
      </c>
      <c r="B61" s="6">
        <v>-949</v>
      </c>
      <c r="C61" s="6">
        <v>1005.7</v>
      </c>
      <c r="D61" s="6">
        <v>-175.3</v>
      </c>
      <c r="E61" s="6">
        <v>948.9</v>
      </c>
      <c r="F61" s="6">
        <v>1122.4000000000001</v>
      </c>
    </row>
    <row r="62" spans="1:6" x14ac:dyDescent="0.15">
      <c r="A62" s="7" t="s">
        <v>50</v>
      </c>
      <c r="B62" s="6">
        <v>-949</v>
      </c>
      <c r="C62" s="6">
        <v>1005.7</v>
      </c>
      <c r="D62" s="6">
        <v>-175.3</v>
      </c>
      <c r="E62" s="6">
        <v>948.9</v>
      </c>
      <c r="F62" s="6">
        <v>1122.4000000000001</v>
      </c>
    </row>
    <row r="63" spans="1:6" x14ac:dyDescent="0.15">
      <c r="A63" s="5"/>
      <c r="B63" s="5"/>
      <c r="C63" s="5"/>
      <c r="D63" s="5"/>
      <c r="E63" s="5"/>
      <c r="F63" s="5"/>
    </row>
    <row r="64" spans="1:6" x14ac:dyDescent="0.15">
      <c r="A64" s="7" t="s">
        <v>49</v>
      </c>
      <c r="B64" s="5"/>
      <c r="C64" s="5"/>
      <c r="D64" s="5"/>
      <c r="E64" s="5"/>
      <c r="F64" s="5"/>
    </row>
    <row r="65" spans="1:6" x14ac:dyDescent="0.15">
      <c r="A65" s="5" t="s">
        <v>48</v>
      </c>
      <c r="B65" s="13">
        <v>-4.38</v>
      </c>
      <c r="C65" s="13">
        <v>4.63</v>
      </c>
      <c r="D65" s="13">
        <v>-0.81</v>
      </c>
      <c r="E65" s="13">
        <v>4.3899999999999997</v>
      </c>
      <c r="F65" s="13">
        <v>5.38</v>
      </c>
    </row>
    <row r="66" spans="1:6" x14ac:dyDescent="0.15">
      <c r="A66" s="5" t="s">
        <v>47</v>
      </c>
      <c r="B66" s="14">
        <v>-4.38</v>
      </c>
      <c r="C66" s="14">
        <v>4.6324269999999999</v>
      </c>
      <c r="D66" s="14">
        <v>-0.81</v>
      </c>
      <c r="E66" s="14">
        <v>4.3930550000000004</v>
      </c>
      <c r="F66" s="14">
        <v>5.3754780000000002</v>
      </c>
    </row>
    <row r="67" spans="1:6" x14ac:dyDescent="0.15">
      <c r="A67" s="5" t="s">
        <v>46</v>
      </c>
      <c r="B67" s="8">
        <v>216.8</v>
      </c>
      <c r="C67" s="8">
        <v>217.1</v>
      </c>
      <c r="D67" s="8">
        <v>216.9</v>
      </c>
      <c r="E67" s="8">
        <v>216</v>
      </c>
      <c r="F67" s="8">
        <v>208.8</v>
      </c>
    </row>
    <row r="68" spans="1:6" x14ac:dyDescent="0.15">
      <c r="A68" s="5"/>
      <c r="B68" s="5"/>
      <c r="C68" s="5"/>
      <c r="D68" s="5"/>
      <c r="E68" s="5"/>
      <c r="F68" s="5"/>
    </row>
    <row r="69" spans="1:6" x14ac:dyDescent="0.15">
      <c r="A69" s="5" t="s">
        <v>45</v>
      </c>
      <c r="B69" s="13">
        <v>-4.38</v>
      </c>
      <c r="C69" s="13">
        <v>4.62</v>
      </c>
      <c r="D69" s="13">
        <v>-0.81</v>
      </c>
      <c r="E69" s="13">
        <v>4.37</v>
      </c>
      <c r="F69" s="13">
        <v>5.35</v>
      </c>
    </row>
    <row r="70" spans="1:6" x14ac:dyDescent="0.15">
      <c r="A70" s="5" t="s">
        <v>44</v>
      </c>
      <c r="B70" s="14">
        <v>-4.38</v>
      </c>
      <c r="C70" s="14">
        <v>4.62</v>
      </c>
      <c r="D70" s="14">
        <v>-0.81</v>
      </c>
      <c r="E70" s="14">
        <v>4.37</v>
      </c>
      <c r="F70" s="14">
        <v>5.35</v>
      </c>
    </row>
    <row r="71" spans="1:6" x14ac:dyDescent="0.15">
      <c r="A71" s="5" t="s">
        <v>43</v>
      </c>
      <c r="B71" s="8">
        <v>216.8</v>
      </c>
      <c r="C71" s="8">
        <v>217.6</v>
      </c>
      <c r="D71" s="8">
        <v>216.9</v>
      </c>
      <c r="E71" s="8">
        <v>217.3</v>
      </c>
      <c r="F71" s="8">
        <v>209.9</v>
      </c>
    </row>
    <row r="72" spans="1:6" x14ac:dyDescent="0.15">
      <c r="A72" s="5"/>
      <c r="B72" s="5"/>
      <c r="C72" s="5"/>
      <c r="D72" s="5"/>
      <c r="E72" s="5"/>
      <c r="F72" s="5"/>
    </row>
    <row r="73" spans="1:6" x14ac:dyDescent="0.15">
      <c r="A73" s="5" t="s">
        <v>42</v>
      </c>
      <c r="B73" s="13">
        <v>3.23</v>
      </c>
      <c r="C73" s="13">
        <v>3.68</v>
      </c>
      <c r="D73" s="13">
        <v>2.58</v>
      </c>
      <c r="E73" s="13">
        <v>4.0599999999999996</v>
      </c>
      <c r="F73" s="13">
        <v>4.53</v>
      </c>
    </row>
    <row r="74" spans="1:6" x14ac:dyDescent="0.15">
      <c r="A74" s="5" t="s">
        <v>41</v>
      </c>
      <c r="B74" s="14">
        <v>3.231722</v>
      </c>
      <c r="C74" s="14">
        <v>3.6745169999999998</v>
      </c>
      <c r="D74" s="14">
        <v>2.5790109999999999</v>
      </c>
      <c r="E74" s="14">
        <v>4.035895</v>
      </c>
      <c r="F74" s="14">
        <v>4.5019049999999998</v>
      </c>
    </row>
    <row r="75" spans="1:6" x14ac:dyDescent="0.15">
      <c r="A75" s="5"/>
      <c r="B75" s="5"/>
      <c r="C75" s="5"/>
      <c r="D75" s="5"/>
      <c r="E75" s="5"/>
      <c r="F75" s="5"/>
    </row>
    <row r="76" spans="1:6" x14ac:dyDescent="0.15">
      <c r="A76" s="5" t="s">
        <v>40</v>
      </c>
      <c r="B76" s="13">
        <v>0.56999999999999995</v>
      </c>
      <c r="C76" s="13">
        <v>0.68</v>
      </c>
      <c r="D76" s="13">
        <v>1.52</v>
      </c>
      <c r="E76" s="13">
        <v>1.64</v>
      </c>
      <c r="F76" s="13">
        <v>1.76</v>
      </c>
    </row>
    <row r="77" spans="1:6" ht="12" x14ac:dyDescent="0.15">
      <c r="A77" s="5" t="s">
        <v>39</v>
      </c>
      <c r="B77" s="11" t="s">
        <v>30</v>
      </c>
      <c r="C77" s="11">
        <v>0.14696200000000001</v>
      </c>
      <c r="D77" s="11" t="s">
        <v>30</v>
      </c>
      <c r="E77" s="11">
        <v>0.37380099999999999</v>
      </c>
      <c r="F77" s="11">
        <v>0.32893699999999998</v>
      </c>
    </row>
    <row r="78" spans="1:6" x14ac:dyDescent="0.15">
      <c r="A78" s="5"/>
      <c r="B78" s="5"/>
      <c r="C78" s="5"/>
      <c r="D78" s="5"/>
      <c r="E78" s="5"/>
      <c r="F78" s="5"/>
    </row>
    <row r="79" spans="1:6" x14ac:dyDescent="0.15">
      <c r="A79" s="5" t="s">
        <v>38</v>
      </c>
      <c r="B79" s="12">
        <v>1</v>
      </c>
      <c r="C79" s="12">
        <v>1</v>
      </c>
      <c r="D79" s="12">
        <v>1</v>
      </c>
      <c r="E79" s="12">
        <v>1</v>
      </c>
      <c r="F79" s="12">
        <v>1</v>
      </c>
    </row>
    <row r="80" spans="1:6" x14ac:dyDescent="0.15">
      <c r="A80" s="5"/>
      <c r="B80" s="5"/>
      <c r="C80" s="5"/>
      <c r="D80" s="5"/>
      <c r="E80" s="5"/>
      <c r="F80" s="5"/>
    </row>
    <row r="81" spans="1:6" x14ac:dyDescent="0.15">
      <c r="A81" s="7" t="s">
        <v>37</v>
      </c>
      <c r="B81" s="5"/>
      <c r="C81" s="5"/>
      <c r="D81" s="5"/>
      <c r="E81" s="5"/>
      <c r="F81" s="5"/>
    </row>
    <row r="82" spans="1:6" x14ac:dyDescent="0.15">
      <c r="A82" s="5" t="s">
        <v>36</v>
      </c>
      <c r="B82" s="8">
        <v>2198.9</v>
      </c>
      <c r="C82" s="8">
        <v>2316</v>
      </c>
      <c r="D82" s="8">
        <v>1813.8</v>
      </c>
      <c r="E82" s="8">
        <v>2281.9</v>
      </c>
      <c r="F82" s="8">
        <v>2476.6999999999998</v>
      </c>
    </row>
    <row r="83" spans="1:6" x14ac:dyDescent="0.15">
      <c r="A83" s="5" t="s">
        <v>35</v>
      </c>
      <c r="B83" s="8">
        <v>1609.2</v>
      </c>
      <c r="C83" s="8">
        <v>1763.3</v>
      </c>
      <c r="D83" s="8">
        <v>1337.1</v>
      </c>
      <c r="E83" s="8">
        <v>1806.4</v>
      </c>
      <c r="F83" s="8">
        <v>2017.3</v>
      </c>
    </row>
    <row r="84" spans="1:6" x14ac:dyDescent="0.15">
      <c r="A84" s="5" t="s">
        <v>34</v>
      </c>
      <c r="B84" s="8">
        <v>1389.2</v>
      </c>
      <c r="C84" s="8">
        <v>1545.3</v>
      </c>
      <c r="D84" s="8">
        <v>1129</v>
      </c>
      <c r="E84" s="8">
        <v>1599.1</v>
      </c>
      <c r="F84" s="8">
        <v>1810.9</v>
      </c>
    </row>
    <row r="85" spans="1:6" x14ac:dyDescent="0.15">
      <c r="A85" s="5" t="s">
        <v>33</v>
      </c>
      <c r="B85" s="8">
        <v>2270.3000000000002</v>
      </c>
      <c r="C85" s="8">
        <v>2389.1999999999998</v>
      </c>
      <c r="D85" s="8">
        <v>1886.3</v>
      </c>
      <c r="E85" s="8">
        <v>2363.1999999999998</v>
      </c>
      <c r="F85" s="8">
        <v>2563.6</v>
      </c>
    </row>
    <row r="86" spans="1:6" x14ac:dyDescent="0.15">
      <c r="A86" s="5" t="s">
        <v>32</v>
      </c>
      <c r="B86" s="8">
        <v>9654</v>
      </c>
      <c r="C86" s="8">
        <v>10279.700000000001</v>
      </c>
      <c r="D86" s="8">
        <v>10701</v>
      </c>
      <c r="E86" s="8">
        <v>11702.1</v>
      </c>
      <c r="F86" s="8">
        <v>11627</v>
      </c>
    </row>
    <row r="87" spans="1:6" ht="12" x14ac:dyDescent="0.15">
      <c r="A87" s="5" t="s">
        <v>31</v>
      </c>
      <c r="B87" s="11" t="s">
        <v>30</v>
      </c>
      <c r="C87" s="11">
        <v>0.18603700000000001</v>
      </c>
      <c r="D87" s="11" t="s">
        <v>30</v>
      </c>
      <c r="E87" s="11">
        <v>0.23640700000000001</v>
      </c>
      <c r="F87" s="11">
        <v>0.22974</v>
      </c>
    </row>
    <row r="88" spans="1:6" x14ac:dyDescent="0.15">
      <c r="A88" s="5" t="s">
        <v>29</v>
      </c>
      <c r="B88" s="8">
        <v>84.2</v>
      </c>
      <c r="C88" s="8">
        <v>50.6</v>
      </c>
      <c r="D88" s="8">
        <v>168.4</v>
      </c>
      <c r="E88" s="8">
        <v>222.8</v>
      </c>
      <c r="F88" s="8">
        <v>173.3</v>
      </c>
    </row>
    <row r="89" spans="1:6" x14ac:dyDescent="0.15">
      <c r="A89" s="5" t="s">
        <v>28</v>
      </c>
      <c r="B89" s="8">
        <v>111.4</v>
      </c>
      <c r="C89" s="8">
        <v>-1</v>
      </c>
      <c r="D89" s="8">
        <v>-17.2</v>
      </c>
      <c r="E89" s="8">
        <v>37.299999999999997</v>
      </c>
      <c r="F89" s="8">
        <v>54.5</v>
      </c>
    </row>
    <row r="90" spans="1:6" x14ac:dyDescent="0.15">
      <c r="A90" s="5" t="s">
        <v>27</v>
      </c>
      <c r="B90" s="8">
        <v>195.6</v>
      </c>
      <c r="C90" s="8">
        <v>49.6</v>
      </c>
      <c r="D90" s="8">
        <v>151.19999999999999</v>
      </c>
      <c r="E90" s="8">
        <v>260.10000000000002</v>
      </c>
      <c r="F90" s="8">
        <v>227.8</v>
      </c>
    </row>
    <row r="91" spans="1:6" x14ac:dyDescent="0.15">
      <c r="A91" s="5" t="s">
        <v>26</v>
      </c>
      <c r="B91" s="8">
        <v>121.4</v>
      </c>
      <c r="C91" s="8">
        <v>233.9</v>
      </c>
      <c r="D91" s="8">
        <v>30.2</v>
      </c>
      <c r="E91" s="8">
        <v>102.8</v>
      </c>
      <c r="F91" s="8">
        <v>123</v>
      </c>
    </row>
    <row r="92" spans="1:6" x14ac:dyDescent="0.15">
      <c r="A92" s="5" t="s">
        <v>25</v>
      </c>
      <c r="B92" s="8">
        <v>-15.2</v>
      </c>
      <c r="C92" s="8">
        <v>-53</v>
      </c>
      <c r="D92" s="8">
        <v>-57.4</v>
      </c>
      <c r="E92" s="8">
        <v>-66.8</v>
      </c>
      <c r="F92" s="8">
        <v>-5.5</v>
      </c>
    </row>
    <row r="93" spans="1:6" x14ac:dyDescent="0.15">
      <c r="A93" s="5" t="s">
        <v>24</v>
      </c>
      <c r="B93" s="8">
        <v>106.2</v>
      </c>
      <c r="C93" s="8">
        <v>180.9</v>
      </c>
      <c r="D93" s="8">
        <v>-27.2</v>
      </c>
      <c r="E93" s="8">
        <v>36</v>
      </c>
      <c r="F93" s="8">
        <v>117.5</v>
      </c>
    </row>
    <row r="94" spans="1:6" x14ac:dyDescent="0.15">
      <c r="A94" s="5"/>
      <c r="B94" s="5"/>
      <c r="C94" s="5"/>
      <c r="D94" s="5"/>
      <c r="E94" s="5"/>
      <c r="F94" s="5"/>
    </row>
    <row r="95" spans="1:6" x14ac:dyDescent="0.15">
      <c r="A95" s="5" t="s">
        <v>23</v>
      </c>
      <c r="B95" s="8">
        <v>700.63750000000005</v>
      </c>
      <c r="C95" s="8">
        <v>799.57500000000005</v>
      </c>
      <c r="D95" s="8">
        <v>559.38750000000005</v>
      </c>
      <c r="E95" s="8">
        <v>877</v>
      </c>
      <c r="F95" s="8">
        <v>944.95</v>
      </c>
    </row>
    <row r="96" spans="1:6" x14ac:dyDescent="0.15">
      <c r="A96" s="5" t="s">
        <v>22</v>
      </c>
      <c r="B96" s="8">
        <v>7.7</v>
      </c>
      <c r="C96" s="8">
        <v>8.8000000000000007</v>
      </c>
      <c r="D96" s="8">
        <v>6.8</v>
      </c>
      <c r="E96" s="8">
        <v>9.4</v>
      </c>
      <c r="F96" s="8">
        <v>12.4</v>
      </c>
    </row>
    <row r="97" spans="1:6" x14ac:dyDescent="0.15">
      <c r="A97" s="5" t="s">
        <v>21</v>
      </c>
      <c r="B97" s="8">
        <v>-34.1</v>
      </c>
      <c r="C97" s="8">
        <v>-53.6</v>
      </c>
      <c r="D97" s="8">
        <v>-41.8</v>
      </c>
      <c r="E97" s="8">
        <v>-0.3</v>
      </c>
      <c r="F97" s="8">
        <v>12.3</v>
      </c>
    </row>
    <row r="98" spans="1:6" x14ac:dyDescent="0.15">
      <c r="A98" s="5" t="s">
        <v>20</v>
      </c>
      <c r="B98" s="10">
        <v>44978</v>
      </c>
      <c r="C98" s="10">
        <v>45342</v>
      </c>
      <c r="D98" s="10">
        <v>45706</v>
      </c>
      <c r="E98" s="10">
        <v>45706</v>
      </c>
      <c r="F98" s="10">
        <v>45706</v>
      </c>
    </row>
    <row r="99" spans="1:6" ht="12" x14ac:dyDescent="0.15">
      <c r="A99" s="5" t="s">
        <v>19</v>
      </c>
      <c r="B99" s="9" t="s">
        <v>18</v>
      </c>
      <c r="C99" s="9" t="s">
        <v>17</v>
      </c>
      <c r="D99" s="9" t="s">
        <v>18</v>
      </c>
      <c r="E99" s="9" t="s">
        <v>17</v>
      </c>
      <c r="F99" s="9" t="s">
        <v>16</v>
      </c>
    </row>
    <row r="100" spans="1:6" ht="12" x14ac:dyDescent="0.15">
      <c r="A100" s="5" t="s">
        <v>15</v>
      </c>
      <c r="B100" s="9" t="s">
        <v>14</v>
      </c>
      <c r="C100" s="9" t="s">
        <v>14</v>
      </c>
      <c r="D100" s="9" t="s">
        <v>14</v>
      </c>
      <c r="E100" s="9" t="s">
        <v>14</v>
      </c>
      <c r="F100" s="9" t="s">
        <v>14</v>
      </c>
    </row>
    <row r="101" spans="1:6" x14ac:dyDescent="0.15">
      <c r="A101" s="5"/>
      <c r="B101" s="5"/>
      <c r="C101" s="5"/>
      <c r="D101" s="5"/>
      <c r="E101" s="5"/>
      <c r="F101" s="5"/>
    </row>
    <row r="102" spans="1:6" x14ac:dyDescent="0.15">
      <c r="A102" s="7" t="s">
        <v>13</v>
      </c>
      <c r="B102" s="5"/>
      <c r="C102" s="5"/>
      <c r="D102" s="5"/>
      <c r="E102" s="5"/>
      <c r="F102" s="5"/>
    </row>
    <row r="103" spans="1:6" x14ac:dyDescent="0.15">
      <c r="A103" s="5" t="s">
        <v>12</v>
      </c>
      <c r="B103" s="8">
        <v>900</v>
      </c>
      <c r="C103" s="8">
        <v>1100</v>
      </c>
      <c r="D103" s="8">
        <v>1000</v>
      </c>
      <c r="E103" s="8">
        <v>1100</v>
      </c>
      <c r="F103" s="8">
        <v>1100</v>
      </c>
    </row>
    <row r="104" spans="1:6" x14ac:dyDescent="0.15">
      <c r="A104" s="5" t="s">
        <v>11</v>
      </c>
      <c r="B104" s="8">
        <v>900</v>
      </c>
      <c r="C104" s="8">
        <v>1100</v>
      </c>
      <c r="D104" s="8">
        <v>1000</v>
      </c>
      <c r="E104" s="8">
        <v>1100</v>
      </c>
      <c r="F104" s="8">
        <v>1100</v>
      </c>
    </row>
    <row r="105" spans="1:6" x14ac:dyDescent="0.15">
      <c r="A105" s="5" t="s">
        <v>10</v>
      </c>
      <c r="B105" s="8">
        <v>71.400000000000006</v>
      </c>
      <c r="C105" s="8">
        <v>73.2</v>
      </c>
      <c r="D105" s="8">
        <v>72.5</v>
      </c>
      <c r="E105" s="8">
        <v>81.3</v>
      </c>
      <c r="F105" s="8">
        <v>86.9</v>
      </c>
    </row>
    <row r="106" spans="1:6" x14ac:dyDescent="0.15">
      <c r="A106" s="5" t="s">
        <v>8</v>
      </c>
      <c r="B106" s="8">
        <v>17.997941000000001</v>
      </c>
      <c r="C106" s="8">
        <v>19.612915000000001</v>
      </c>
      <c r="D106" s="8">
        <v>21.067920000000001</v>
      </c>
      <c r="E106" s="8">
        <v>24.093418</v>
      </c>
      <c r="F106" s="8">
        <v>32.082785000000001</v>
      </c>
    </row>
    <row r="107" spans="1:6" x14ac:dyDescent="0.15">
      <c r="A107" s="5" t="s">
        <v>7</v>
      </c>
      <c r="B107" s="8">
        <v>53.402059000000001</v>
      </c>
      <c r="C107" s="8">
        <v>53.587085000000002</v>
      </c>
      <c r="D107" s="8">
        <v>51.432079999999999</v>
      </c>
      <c r="E107" s="8">
        <v>57.206581999999997</v>
      </c>
      <c r="F107" s="8">
        <v>54.817214999999997</v>
      </c>
    </row>
    <row r="108" spans="1:6" x14ac:dyDescent="0.15">
      <c r="A108" s="5"/>
      <c r="B108" s="5"/>
      <c r="C108" s="5"/>
      <c r="D108" s="5"/>
      <c r="E108" s="5"/>
      <c r="F108" s="5"/>
    </row>
    <row r="109" spans="1:6" x14ac:dyDescent="0.15">
      <c r="A109" s="5" t="s">
        <v>6</v>
      </c>
      <c r="B109" s="8">
        <v>24.2</v>
      </c>
      <c r="C109" s="8">
        <v>32.1</v>
      </c>
      <c r="D109" s="8">
        <v>33.6</v>
      </c>
      <c r="E109" s="8">
        <v>44.9</v>
      </c>
      <c r="F109" s="8">
        <v>43.1</v>
      </c>
    </row>
    <row r="110" spans="1:6" ht="12" x14ac:dyDescent="0.15">
      <c r="A110" s="5" t="s">
        <v>5</v>
      </c>
      <c r="B110" s="8" t="s">
        <v>4</v>
      </c>
      <c r="C110" s="8" t="s">
        <v>4</v>
      </c>
      <c r="D110" s="8" t="s">
        <v>4</v>
      </c>
      <c r="E110" s="8" t="s">
        <v>4</v>
      </c>
      <c r="F110" s="8" t="s">
        <v>4</v>
      </c>
    </row>
    <row r="111" spans="1:6" x14ac:dyDescent="0.15">
      <c r="A111" s="7" t="s">
        <v>3</v>
      </c>
      <c r="B111" s="6">
        <v>24.2</v>
      </c>
      <c r="C111" s="6">
        <v>32.1</v>
      </c>
      <c r="D111" s="6">
        <v>33.6</v>
      </c>
      <c r="E111" s="6">
        <v>44.9</v>
      </c>
      <c r="F111" s="6">
        <v>43.1</v>
      </c>
    </row>
    <row r="112" spans="1:6" x14ac:dyDescent="0.15">
      <c r="A112" s="7" t="s">
        <v>316</v>
      </c>
      <c r="B112" s="16">
        <v>809.7</v>
      </c>
      <c r="C112" s="16">
        <v>770.7</v>
      </c>
      <c r="D112" s="16">
        <v>684.8</v>
      </c>
      <c r="E112" s="16">
        <v>682.8</v>
      </c>
      <c r="F112" s="16">
        <v>665.8</v>
      </c>
    </row>
    <row r="113" spans="1:6" x14ac:dyDescent="0.15">
      <c r="A113" s="5" t="s">
        <v>305</v>
      </c>
      <c r="B113" s="8">
        <v>-574.79999999999995</v>
      </c>
      <c r="C113" s="8">
        <v>-522.6</v>
      </c>
      <c r="D113" s="8">
        <v>-661.4</v>
      </c>
      <c r="E113" s="8">
        <v>-671.5</v>
      </c>
      <c r="F113" s="8">
        <v>-674.1</v>
      </c>
    </row>
    <row r="114" spans="1:6" x14ac:dyDescent="0.15">
      <c r="A114" s="4" t="s">
        <v>2</v>
      </c>
      <c r="B114" s="3"/>
      <c r="C114" s="3"/>
      <c r="D114" s="3"/>
      <c r="E114" s="3"/>
      <c r="F114" s="3"/>
    </row>
    <row r="115" spans="1:6" x14ac:dyDescent="0.15">
      <c r="A115" s="1" t="s">
        <v>1</v>
      </c>
    </row>
    <row r="116" spans="1:6" x14ac:dyDescent="0.15">
      <c r="A116" s="2" t="s">
        <v>0</v>
      </c>
    </row>
  </sheetData>
  <pageMargins left="0.2" right="0.2" top="0.5" bottom="0.5" header="0.5" footer="0.5"/>
  <pageSetup fitToWidth="0" fitToHeight="0" orientation="landscape" horizontalDpi="0" verticalDpi="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C66077-C9DF-7041-A64C-B98B410D1D83}">
  <sheetPr codeName="Sheet3">
    <outlinePr summaryBelow="0" summaryRight="0"/>
    <pageSetUpPr autoPageBreaks="0"/>
  </sheetPr>
  <dimension ref="A1:IT95"/>
  <sheetViews>
    <sheetView zoomScale="186" workbookViewId="0">
      <selection activeCell="D7" sqref="D7"/>
    </sheetView>
  </sheetViews>
  <sheetFormatPr baseColWidth="10" defaultColWidth="10.83203125" defaultRowHeight="11" x14ac:dyDescent="0.15"/>
  <cols>
    <col min="1" max="1" width="45.83203125" style="1" customWidth="1"/>
    <col min="2" max="6" width="14.83203125" style="1" customWidth="1"/>
    <col min="7" max="255" width="8.83203125" style="1" customWidth="1"/>
    <col min="256" max="16384" width="10.83203125" style="1"/>
  </cols>
  <sheetData>
    <row r="1" spans="1:254" ht="17" x14ac:dyDescent="0.2">
      <c r="A1" s="23" t="s">
        <v>182</v>
      </c>
    </row>
    <row r="3" spans="1:254" ht="12" x14ac:dyDescent="0.15">
      <c r="A3" s="22" t="s">
        <v>111</v>
      </c>
      <c r="B3" s="20" t="s">
        <v>110</v>
      </c>
      <c r="C3" s="1" t="s">
        <v>109</v>
      </c>
      <c r="D3" s="5" t="s">
        <v>92</v>
      </c>
      <c r="E3" s="20" t="s">
        <v>108</v>
      </c>
      <c r="F3" s="1" t="s">
        <v>107</v>
      </c>
    </row>
    <row r="4" spans="1:254" x14ac:dyDescent="0.15">
      <c r="A4" s="5"/>
      <c r="B4" s="20" t="s">
        <v>106</v>
      </c>
      <c r="C4" s="1" t="s">
        <v>105</v>
      </c>
      <c r="D4" s="5" t="s">
        <v>92</v>
      </c>
      <c r="E4" s="20" t="s">
        <v>104</v>
      </c>
      <c r="F4" s="1" t="s">
        <v>103</v>
      </c>
    </row>
    <row r="5" spans="1:254" x14ac:dyDescent="0.15">
      <c r="A5" s="5"/>
      <c r="B5" s="20" t="s">
        <v>102</v>
      </c>
      <c r="C5" s="1" t="s">
        <v>101</v>
      </c>
      <c r="D5" s="5" t="s">
        <v>92</v>
      </c>
      <c r="E5" s="20" t="s">
        <v>100</v>
      </c>
      <c r="F5" s="1" t="s">
        <v>99</v>
      </c>
    </row>
    <row r="6" spans="1:254" x14ac:dyDescent="0.15">
      <c r="A6" s="5"/>
      <c r="B6" s="20" t="s">
        <v>98</v>
      </c>
      <c r="C6" s="1" t="s">
        <v>97</v>
      </c>
      <c r="D6" s="5" t="s">
        <v>92</v>
      </c>
      <c r="E6" s="20" t="s">
        <v>96</v>
      </c>
      <c r="F6" s="21" t="s">
        <v>95</v>
      </c>
    </row>
    <row r="7" spans="1:254" x14ac:dyDescent="0.15">
      <c r="A7" s="5"/>
      <c r="B7" s="20" t="s">
        <v>94</v>
      </c>
      <c r="C7" s="1" t="s">
        <v>93</v>
      </c>
      <c r="D7" s="5" t="s">
        <v>92</v>
      </c>
      <c r="E7" s="19"/>
      <c r="F7" s="19"/>
    </row>
    <row r="10" spans="1:254" x14ac:dyDescent="0.15">
      <c r="A10" s="18" t="s">
        <v>181</v>
      </c>
      <c r="B10" s="18"/>
      <c r="C10" s="18"/>
      <c r="D10" s="18"/>
      <c r="E10" s="18"/>
      <c r="F10" s="18"/>
      <c r="G10" s="17"/>
      <c r="H10" s="17"/>
      <c r="I10" s="17"/>
      <c r="J10" s="17"/>
      <c r="K10" s="17"/>
      <c r="L10" s="17"/>
      <c r="M10" s="17"/>
      <c r="N10" s="17"/>
      <c r="O10" s="17"/>
      <c r="P10" s="17"/>
      <c r="Q10" s="17"/>
      <c r="R10" s="17"/>
      <c r="S10" s="17"/>
      <c r="T10" s="17"/>
      <c r="U10" s="17"/>
      <c r="V10" s="17"/>
      <c r="W10" s="17"/>
      <c r="X10" s="17"/>
      <c r="Y10" s="17"/>
      <c r="Z10" s="17"/>
      <c r="AA10" s="17"/>
      <c r="AB10" s="17"/>
      <c r="AC10" s="17"/>
      <c r="AD10" s="17"/>
      <c r="AE10" s="17"/>
      <c r="AF10" s="17"/>
      <c r="AG10" s="17"/>
      <c r="AH10" s="17"/>
      <c r="AI10" s="17"/>
      <c r="AJ10" s="17"/>
      <c r="AK10" s="17"/>
      <c r="AL10" s="17"/>
      <c r="AM10" s="17"/>
      <c r="AN10" s="17"/>
      <c r="AO10" s="17"/>
      <c r="AP10" s="17"/>
      <c r="AQ10" s="17"/>
      <c r="AR10" s="17"/>
      <c r="AS10" s="17"/>
      <c r="AT10" s="17"/>
      <c r="AU10" s="17"/>
      <c r="AV10" s="17"/>
      <c r="AW10" s="17"/>
      <c r="AX10" s="17"/>
      <c r="AY10" s="17"/>
      <c r="AZ10" s="17"/>
      <c r="BA10" s="17"/>
      <c r="BB10" s="17"/>
      <c r="BC10" s="17"/>
      <c r="BD10" s="17"/>
      <c r="BE10" s="17"/>
      <c r="BF10" s="17"/>
      <c r="BG10" s="17"/>
      <c r="BH10" s="17"/>
      <c r="BI10" s="17"/>
      <c r="BJ10" s="17"/>
      <c r="BK10" s="17"/>
      <c r="BL10" s="17"/>
      <c r="BM10" s="17"/>
      <c r="BN10" s="17"/>
      <c r="BO10" s="17"/>
      <c r="BP10" s="17"/>
      <c r="BQ10" s="17"/>
      <c r="BR10" s="17"/>
      <c r="BS10" s="17"/>
      <c r="BT10" s="17"/>
      <c r="BU10" s="17"/>
      <c r="BV10" s="17"/>
      <c r="BW10" s="17"/>
      <c r="BX10" s="17"/>
      <c r="BY10" s="17"/>
      <c r="BZ10" s="17"/>
      <c r="CA10" s="17"/>
      <c r="CB10" s="17"/>
      <c r="CC10" s="17"/>
      <c r="CD10" s="17"/>
      <c r="CE10" s="17"/>
      <c r="CF10" s="17"/>
      <c r="CG10" s="17"/>
      <c r="CH10" s="17"/>
      <c r="CI10" s="17"/>
      <c r="CJ10" s="17"/>
      <c r="CK10" s="17"/>
      <c r="CL10" s="17"/>
      <c r="CM10" s="17"/>
      <c r="CN10" s="17"/>
      <c r="CO10" s="17"/>
      <c r="CP10" s="17"/>
      <c r="CQ10" s="17"/>
      <c r="CR10" s="17"/>
      <c r="CS10" s="17"/>
      <c r="CT10" s="17"/>
      <c r="CU10" s="17"/>
      <c r="CV10" s="17"/>
      <c r="CW10" s="17"/>
      <c r="CX10" s="17"/>
      <c r="CY10" s="17"/>
      <c r="CZ10" s="17"/>
      <c r="DA10" s="17"/>
      <c r="DB10" s="17"/>
      <c r="DC10" s="17"/>
      <c r="DD10" s="17"/>
      <c r="DE10" s="17"/>
      <c r="DF10" s="17"/>
      <c r="DG10" s="17"/>
      <c r="DH10" s="17"/>
      <c r="DI10" s="17"/>
      <c r="DJ10" s="17"/>
      <c r="DK10" s="17"/>
      <c r="DL10" s="17"/>
      <c r="DM10" s="17"/>
      <c r="DN10" s="17"/>
      <c r="DO10" s="17"/>
      <c r="DP10" s="17"/>
      <c r="DQ10" s="17"/>
      <c r="DR10" s="17"/>
      <c r="DS10" s="17"/>
      <c r="DT10" s="17"/>
      <c r="DU10" s="17"/>
      <c r="DV10" s="17"/>
      <c r="DW10" s="17"/>
      <c r="DX10" s="17"/>
      <c r="DY10" s="17"/>
      <c r="DZ10" s="17"/>
      <c r="EA10" s="17"/>
      <c r="EB10" s="17"/>
      <c r="EC10" s="17"/>
      <c r="ED10" s="17"/>
      <c r="EE10" s="17"/>
      <c r="EF10" s="17"/>
      <c r="EG10" s="17"/>
      <c r="EH10" s="17"/>
      <c r="EI10" s="17"/>
      <c r="EJ10" s="17"/>
      <c r="EK10" s="17"/>
      <c r="EL10" s="17"/>
      <c r="EM10" s="17"/>
      <c r="EN10" s="17"/>
      <c r="EO10" s="17"/>
      <c r="EP10" s="17"/>
      <c r="EQ10" s="17"/>
      <c r="ER10" s="17"/>
      <c r="ES10" s="17"/>
      <c r="ET10" s="17"/>
      <c r="EU10" s="17"/>
      <c r="EV10" s="17"/>
      <c r="EW10" s="17"/>
      <c r="EX10" s="17"/>
      <c r="EY10" s="17"/>
      <c r="EZ10" s="17"/>
      <c r="FA10" s="17"/>
      <c r="FB10" s="17"/>
      <c r="FC10" s="17"/>
      <c r="FD10" s="17"/>
      <c r="FE10" s="17"/>
      <c r="FF10" s="17"/>
      <c r="FG10" s="17"/>
      <c r="FH10" s="17"/>
      <c r="FI10" s="17"/>
      <c r="FJ10" s="17"/>
      <c r="FK10" s="17"/>
      <c r="FL10" s="17"/>
      <c r="FM10" s="17"/>
      <c r="FN10" s="17"/>
      <c r="FO10" s="17"/>
      <c r="FP10" s="17"/>
      <c r="FQ10" s="17"/>
      <c r="FR10" s="17"/>
      <c r="FS10" s="17"/>
      <c r="FT10" s="17"/>
      <c r="FU10" s="17"/>
      <c r="FV10" s="17"/>
      <c r="FW10" s="17"/>
      <c r="FX10" s="17"/>
      <c r="FY10" s="17"/>
      <c r="FZ10" s="17"/>
      <c r="GA10" s="17"/>
      <c r="GB10" s="17"/>
      <c r="GC10" s="17"/>
      <c r="GD10" s="17"/>
      <c r="GE10" s="17"/>
      <c r="GF10" s="17"/>
      <c r="GG10" s="17"/>
      <c r="GH10" s="17"/>
      <c r="GI10" s="17"/>
      <c r="GJ10" s="17"/>
      <c r="GK10" s="17"/>
      <c r="GL10" s="17"/>
      <c r="GM10" s="17"/>
      <c r="GN10" s="17"/>
      <c r="GO10" s="17"/>
      <c r="GP10" s="17"/>
      <c r="GQ10" s="17"/>
      <c r="GR10" s="17"/>
      <c r="GS10" s="17"/>
      <c r="GT10" s="17"/>
      <c r="GU10" s="17"/>
      <c r="GV10" s="17"/>
      <c r="GW10" s="17"/>
      <c r="GX10" s="17"/>
      <c r="GY10" s="17"/>
      <c r="GZ10" s="17"/>
      <c r="HA10" s="17"/>
      <c r="HB10" s="17"/>
      <c r="HC10" s="17"/>
      <c r="HD10" s="17"/>
      <c r="HE10" s="17"/>
      <c r="HF10" s="17"/>
      <c r="HG10" s="17"/>
      <c r="HH10" s="17"/>
      <c r="HI10" s="17"/>
      <c r="HJ10" s="17"/>
      <c r="HK10" s="17"/>
      <c r="HL10" s="17"/>
      <c r="HM10" s="17"/>
      <c r="HN10" s="17"/>
      <c r="HO10" s="17"/>
      <c r="HP10" s="17"/>
      <c r="HQ10" s="17"/>
      <c r="HR10" s="17"/>
      <c r="HS10" s="17"/>
      <c r="HT10" s="17"/>
      <c r="HU10" s="17"/>
      <c r="HV10" s="17"/>
      <c r="HW10" s="17"/>
      <c r="HX10" s="17"/>
      <c r="HY10" s="17"/>
      <c r="HZ10" s="17"/>
      <c r="IA10" s="17"/>
      <c r="IB10" s="17"/>
      <c r="IC10" s="17"/>
      <c r="ID10" s="17"/>
      <c r="IE10" s="17"/>
      <c r="IF10" s="17"/>
      <c r="IG10" s="17"/>
      <c r="IH10" s="17"/>
      <c r="II10" s="17"/>
      <c r="IJ10" s="17"/>
      <c r="IK10" s="17"/>
      <c r="IL10" s="17"/>
      <c r="IM10" s="17"/>
      <c r="IN10" s="17"/>
      <c r="IO10" s="17"/>
      <c r="IP10" s="17"/>
      <c r="IQ10" s="17"/>
      <c r="IR10" s="17"/>
      <c r="IS10" s="17"/>
      <c r="IT10" s="17"/>
    </row>
    <row r="11" spans="1:254" ht="24" x14ac:dyDescent="0.15">
      <c r="A11" s="27" t="s">
        <v>90</v>
      </c>
      <c r="B11" s="28">
        <v>2020</v>
      </c>
      <c r="C11" s="28">
        <f>B11+1</f>
        <v>2021</v>
      </c>
      <c r="D11" s="28">
        <f t="shared" ref="D11:F11" si="0">C11+1</f>
        <v>2022</v>
      </c>
      <c r="E11" s="28">
        <f t="shared" si="0"/>
        <v>2023</v>
      </c>
      <c r="F11" s="28">
        <f t="shared" si="0"/>
        <v>2024</v>
      </c>
    </row>
    <row r="12" spans="1:254" ht="12" x14ac:dyDescent="0.15">
      <c r="A12" s="29" t="s">
        <v>89</v>
      </c>
      <c r="B12" s="30" t="s">
        <v>88</v>
      </c>
      <c r="C12" s="30" t="s">
        <v>88</v>
      </c>
      <c r="D12" s="30" t="s">
        <v>88</v>
      </c>
      <c r="E12" s="30" t="s">
        <v>88</v>
      </c>
      <c r="F12" s="30" t="s">
        <v>88</v>
      </c>
    </row>
    <row r="13" spans="1:254" x14ac:dyDescent="0.15">
      <c r="A13" s="7" t="s">
        <v>179</v>
      </c>
      <c r="B13" s="5"/>
      <c r="C13" s="5"/>
      <c r="D13" s="5"/>
      <c r="E13" s="5"/>
      <c r="F13" s="5"/>
    </row>
    <row r="14" spans="1:254" x14ac:dyDescent="0.15">
      <c r="A14" s="5" t="s">
        <v>178</v>
      </c>
      <c r="B14" s="8">
        <v>770.1</v>
      </c>
      <c r="C14" s="8">
        <v>637.4</v>
      </c>
      <c r="D14" s="8">
        <v>600</v>
      </c>
      <c r="E14" s="8">
        <v>868.9</v>
      </c>
      <c r="F14" s="8">
        <v>969.3</v>
      </c>
    </row>
    <row r="15" spans="1:254" x14ac:dyDescent="0.15">
      <c r="A15" s="7" t="s">
        <v>177</v>
      </c>
      <c r="B15" s="16">
        <v>770.1</v>
      </c>
      <c r="C15" s="16">
        <v>637.4</v>
      </c>
      <c r="D15" s="16">
        <v>600</v>
      </c>
      <c r="E15" s="16">
        <v>868.9</v>
      </c>
      <c r="F15" s="16">
        <v>969.3</v>
      </c>
    </row>
    <row r="16" spans="1:254" x14ac:dyDescent="0.15">
      <c r="A16" s="5"/>
      <c r="B16" s="5"/>
      <c r="C16" s="5"/>
      <c r="D16" s="5"/>
      <c r="E16" s="5"/>
      <c r="F16" s="5"/>
    </row>
    <row r="17" spans="1:6" x14ac:dyDescent="0.15">
      <c r="A17" s="5" t="s">
        <v>176</v>
      </c>
      <c r="B17" s="8">
        <v>549.6</v>
      </c>
      <c r="C17" s="8">
        <v>678.9</v>
      </c>
      <c r="D17" s="8">
        <v>739.8</v>
      </c>
      <c r="E17" s="8">
        <v>757.8</v>
      </c>
      <c r="F17" s="8">
        <v>693.1</v>
      </c>
    </row>
    <row r="18" spans="1:6" x14ac:dyDescent="0.15">
      <c r="A18" s="5" t="s">
        <v>175</v>
      </c>
      <c r="B18" s="8">
        <v>137.5</v>
      </c>
      <c r="C18" s="8">
        <v>200.5</v>
      </c>
      <c r="D18" s="8">
        <v>126.4</v>
      </c>
      <c r="E18" s="8">
        <v>121.6</v>
      </c>
      <c r="F18" s="8">
        <v>149.80000000000001</v>
      </c>
    </row>
    <row r="19" spans="1:6" x14ac:dyDescent="0.15">
      <c r="A19" s="7" t="s">
        <v>174</v>
      </c>
      <c r="B19" s="16">
        <v>687.1</v>
      </c>
      <c r="C19" s="16">
        <v>879.4</v>
      </c>
      <c r="D19" s="16">
        <v>866.2</v>
      </c>
      <c r="E19" s="16">
        <v>879.4</v>
      </c>
      <c r="F19" s="16">
        <v>842.9</v>
      </c>
    </row>
    <row r="20" spans="1:6" x14ac:dyDescent="0.15">
      <c r="A20" s="5"/>
      <c r="B20" s="5"/>
      <c r="C20" s="5"/>
      <c r="D20" s="5"/>
      <c r="E20" s="5"/>
      <c r="F20" s="5"/>
    </row>
    <row r="21" spans="1:6" x14ac:dyDescent="0.15">
      <c r="A21" s="5" t="s">
        <v>173</v>
      </c>
      <c r="B21" s="8">
        <v>664.3</v>
      </c>
      <c r="C21" s="8">
        <v>804.7</v>
      </c>
      <c r="D21" s="8">
        <v>792.9</v>
      </c>
      <c r="E21" s="8">
        <v>802.3</v>
      </c>
      <c r="F21" s="8">
        <v>727.8</v>
      </c>
    </row>
    <row r="22" spans="1:6" x14ac:dyDescent="0.15">
      <c r="A22" s="5" t="s">
        <v>172</v>
      </c>
      <c r="B22" s="8">
        <v>297.3</v>
      </c>
      <c r="C22" s="8">
        <v>457.2</v>
      </c>
      <c r="D22" s="8">
        <v>378.9</v>
      </c>
      <c r="E22" s="8">
        <v>297.89999999999998</v>
      </c>
      <c r="F22" s="8">
        <v>308.39999999999998</v>
      </c>
    </row>
    <row r="23" spans="1:6" x14ac:dyDescent="0.15">
      <c r="A23" s="7" t="s">
        <v>400</v>
      </c>
      <c r="B23" s="16">
        <v>2418.8000000000002</v>
      </c>
      <c r="C23" s="16">
        <v>2778.7</v>
      </c>
      <c r="D23" s="16">
        <v>2638</v>
      </c>
      <c r="E23" s="16">
        <v>2848.5</v>
      </c>
      <c r="F23" s="16">
        <v>2848.4</v>
      </c>
    </row>
    <row r="24" spans="1:6" x14ac:dyDescent="0.15">
      <c r="A24" s="5"/>
      <c r="B24" s="5"/>
      <c r="C24" s="5"/>
      <c r="D24" s="5"/>
      <c r="E24" s="5"/>
      <c r="F24" s="5"/>
    </row>
    <row r="25" spans="1:6" x14ac:dyDescent="0.15">
      <c r="A25" s="5" t="s">
        <v>170</v>
      </c>
      <c r="B25" s="8">
        <v>7802.9</v>
      </c>
      <c r="C25" s="8">
        <v>7818.7</v>
      </c>
      <c r="D25" s="8">
        <v>8017.4</v>
      </c>
      <c r="E25" s="8">
        <v>8746.7999999999993</v>
      </c>
      <c r="F25" s="8">
        <v>9041.4</v>
      </c>
    </row>
    <row r="26" spans="1:6" x14ac:dyDescent="0.15">
      <c r="A26" s="5" t="s">
        <v>169</v>
      </c>
      <c r="B26" s="8">
        <v>-3416.4</v>
      </c>
      <c r="C26" s="8">
        <v>-3507.2</v>
      </c>
      <c r="D26" s="8">
        <v>-3661.9</v>
      </c>
      <c r="E26" s="8">
        <v>-4101.6000000000004</v>
      </c>
      <c r="F26" s="8">
        <v>-4392</v>
      </c>
    </row>
    <row r="27" spans="1:6" x14ac:dyDescent="0.15">
      <c r="A27" s="7" t="s">
        <v>168</v>
      </c>
      <c r="B27" s="16">
        <v>4386.5</v>
      </c>
      <c r="C27" s="16">
        <v>4311.5</v>
      </c>
      <c r="D27" s="16">
        <v>4355.5</v>
      </c>
      <c r="E27" s="16">
        <v>4645.2</v>
      </c>
      <c r="F27" s="16">
        <v>4649.3999999999996</v>
      </c>
    </row>
    <row r="28" spans="1:6" x14ac:dyDescent="0.15">
      <c r="A28" s="5"/>
      <c r="B28" s="5"/>
      <c r="C28" s="5"/>
      <c r="D28" s="5"/>
      <c r="E28" s="5"/>
      <c r="F28" s="5"/>
    </row>
    <row r="29" spans="1:6" ht="12" x14ac:dyDescent="0.15">
      <c r="A29" s="5" t="s">
        <v>167</v>
      </c>
      <c r="B29" s="8" t="s">
        <v>4</v>
      </c>
      <c r="C29" s="8" t="s">
        <v>4</v>
      </c>
      <c r="D29" s="8">
        <v>40</v>
      </c>
      <c r="E29" s="8">
        <v>264.3</v>
      </c>
      <c r="F29" s="8">
        <v>205.2</v>
      </c>
    </row>
    <row r="30" spans="1:6" x14ac:dyDescent="0.15">
      <c r="A30" s="5" t="s">
        <v>166</v>
      </c>
      <c r="B30" s="8">
        <v>6151</v>
      </c>
      <c r="C30" s="8">
        <v>6152.6</v>
      </c>
      <c r="D30" s="8">
        <v>5291.9</v>
      </c>
      <c r="E30" s="8">
        <v>5325.3</v>
      </c>
      <c r="F30" s="8">
        <v>5582.3</v>
      </c>
    </row>
    <row r="31" spans="1:6" x14ac:dyDescent="0.15">
      <c r="A31" s="5" t="s">
        <v>165</v>
      </c>
      <c r="B31" s="8">
        <v>13556.1</v>
      </c>
      <c r="C31" s="8">
        <v>13286.8</v>
      </c>
      <c r="D31" s="8">
        <v>12800.1</v>
      </c>
      <c r="E31" s="8">
        <v>12614.6</v>
      </c>
      <c r="F31" s="8">
        <v>12195.2</v>
      </c>
    </row>
    <row r="32" spans="1:6" x14ac:dyDescent="0.15">
      <c r="A32" s="5" t="s">
        <v>164</v>
      </c>
      <c r="B32" s="8">
        <v>105.7</v>
      </c>
      <c r="C32" s="8">
        <v>180.2</v>
      </c>
      <c r="D32" s="8">
        <v>125.8</v>
      </c>
      <c r="E32" s="8">
        <v>123.7</v>
      </c>
      <c r="F32" s="8">
        <v>38.6</v>
      </c>
    </row>
    <row r="33" spans="1:6" ht="12" x14ac:dyDescent="0.15">
      <c r="A33" s="5" t="s">
        <v>163</v>
      </c>
      <c r="B33" s="8" t="s">
        <v>4</v>
      </c>
      <c r="C33" s="8" t="s">
        <v>4</v>
      </c>
      <c r="D33" s="8" t="s">
        <v>4</v>
      </c>
      <c r="E33" s="8">
        <v>35.700000000000003</v>
      </c>
      <c r="F33" s="8">
        <v>39.9</v>
      </c>
    </row>
    <row r="34" spans="1:6" x14ac:dyDescent="0.15">
      <c r="A34" s="5" t="s">
        <v>162</v>
      </c>
      <c r="B34" s="8">
        <v>713</v>
      </c>
      <c r="C34" s="8">
        <v>909.2</v>
      </c>
      <c r="D34" s="8">
        <v>617</v>
      </c>
      <c r="E34" s="8">
        <v>517.79999999999995</v>
      </c>
      <c r="F34" s="8">
        <v>505.3</v>
      </c>
    </row>
    <row r="35" spans="1:6" x14ac:dyDescent="0.15">
      <c r="A35" s="7" t="s">
        <v>161</v>
      </c>
      <c r="B35" s="15">
        <v>27331.1</v>
      </c>
      <c r="C35" s="15">
        <v>27619</v>
      </c>
      <c r="D35" s="15">
        <v>25868.3</v>
      </c>
      <c r="E35" s="15">
        <v>26375.1</v>
      </c>
      <c r="F35" s="15">
        <v>26064.3</v>
      </c>
    </row>
    <row r="36" spans="1:6" x14ac:dyDescent="0.15">
      <c r="A36" s="5"/>
      <c r="B36" s="5"/>
      <c r="C36" s="5"/>
      <c r="D36" s="5"/>
      <c r="E36" s="5"/>
      <c r="F36" s="5"/>
    </row>
    <row r="37" spans="1:6" x14ac:dyDescent="0.15">
      <c r="A37" s="7" t="s">
        <v>160</v>
      </c>
      <c r="B37" s="5"/>
      <c r="C37" s="5"/>
      <c r="D37" s="5"/>
      <c r="E37" s="5"/>
      <c r="F37" s="5"/>
    </row>
    <row r="38" spans="1:6" x14ac:dyDescent="0.15">
      <c r="A38" s="5" t="s">
        <v>159</v>
      </c>
      <c r="B38" s="8">
        <v>1732.7</v>
      </c>
      <c r="C38" s="8">
        <v>2098.1</v>
      </c>
      <c r="D38" s="8">
        <v>2225.1</v>
      </c>
      <c r="E38" s="8">
        <v>2128.3000000000002</v>
      </c>
      <c r="F38" s="8">
        <v>2020.1</v>
      </c>
    </row>
    <row r="39" spans="1:6" x14ac:dyDescent="0.15">
      <c r="A39" s="5" t="s">
        <v>158</v>
      </c>
      <c r="B39" s="8">
        <v>637.5</v>
      </c>
      <c r="C39" s="8">
        <v>577.70000000000005</v>
      </c>
      <c r="D39" s="8">
        <v>576.70000000000005</v>
      </c>
      <c r="E39" s="8">
        <v>823.7</v>
      </c>
      <c r="F39" s="8">
        <v>735.7</v>
      </c>
    </row>
    <row r="40" spans="1:6" x14ac:dyDescent="0.15">
      <c r="A40" s="5" t="s">
        <v>157</v>
      </c>
      <c r="B40" s="8">
        <v>14</v>
      </c>
      <c r="C40" s="8">
        <v>6.9</v>
      </c>
      <c r="D40" s="8">
        <v>20.9</v>
      </c>
      <c r="E40" s="8">
        <v>21.5</v>
      </c>
      <c r="F40" s="8">
        <v>19.899999999999999</v>
      </c>
    </row>
    <row r="41" spans="1:6" x14ac:dyDescent="0.15">
      <c r="A41" s="5" t="s">
        <v>156</v>
      </c>
      <c r="B41" s="8">
        <v>1049.7</v>
      </c>
      <c r="C41" s="8">
        <v>571.1</v>
      </c>
      <c r="D41" s="8">
        <v>370.9</v>
      </c>
      <c r="E41" s="8">
        <v>885.1</v>
      </c>
      <c r="F41" s="8">
        <v>2.4</v>
      </c>
    </row>
    <row r="42" spans="1:6" x14ac:dyDescent="0.15">
      <c r="A42" s="5" t="s">
        <v>155</v>
      </c>
      <c r="B42" s="8">
        <v>51.2</v>
      </c>
      <c r="C42" s="8">
        <v>50</v>
      </c>
      <c r="D42" s="8">
        <v>50</v>
      </c>
      <c r="E42" s="8">
        <v>52.1</v>
      </c>
      <c r="F42" s="8">
        <v>56.6</v>
      </c>
    </row>
    <row r="43" spans="1:6" x14ac:dyDescent="0.15">
      <c r="A43" s="5" t="s">
        <v>154</v>
      </c>
      <c r="B43" s="8">
        <v>424.5</v>
      </c>
      <c r="C43" s="8">
        <v>318.39999999999998</v>
      </c>
      <c r="D43" s="8">
        <v>131.80000000000001</v>
      </c>
      <c r="E43" s="8">
        <v>181.9</v>
      </c>
      <c r="F43" s="8">
        <v>210.5</v>
      </c>
    </row>
    <row r="44" spans="1:6" x14ac:dyDescent="0.15">
      <c r="A44" s="7" t="s">
        <v>153</v>
      </c>
      <c r="B44" s="16">
        <v>3909.6</v>
      </c>
      <c r="C44" s="16">
        <v>3622.2</v>
      </c>
      <c r="D44" s="16">
        <v>3375.4</v>
      </c>
      <c r="E44" s="16">
        <v>4092.6</v>
      </c>
      <c r="F44" s="16">
        <v>3045.2</v>
      </c>
    </row>
    <row r="45" spans="1:6" x14ac:dyDescent="0.15">
      <c r="A45" s="5"/>
      <c r="B45" s="5"/>
      <c r="C45" s="5"/>
      <c r="D45" s="5"/>
      <c r="E45" s="5"/>
      <c r="F45" s="5"/>
    </row>
    <row r="46" spans="1:6" x14ac:dyDescent="0.15">
      <c r="A46" s="5" t="s">
        <v>152</v>
      </c>
      <c r="B46" s="8">
        <v>7322.1</v>
      </c>
      <c r="C46" s="8">
        <v>6687.7</v>
      </c>
      <c r="D46" s="8">
        <v>6109</v>
      </c>
      <c r="E46" s="8">
        <v>5263.6</v>
      </c>
      <c r="F46" s="8">
        <v>6057</v>
      </c>
    </row>
    <row r="47" spans="1:6" x14ac:dyDescent="0.15">
      <c r="A47" s="5" t="s">
        <v>151</v>
      </c>
      <c r="B47" s="8">
        <v>166.3</v>
      </c>
      <c r="C47" s="8">
        <v>150.4</v>
      </c>
      <c r="D47" s="8">
        <v>155.5</v>
      </c>
      <c r="E47" s="8">
        <v>212.4</v>
      </c>
      <c r="F47" s="8">
        <v>218.4</v>
      </c>
    </row>
    <row r="48" spans="1:6" x14ac:dyDescent="0.15">
      <c r="A48" s="5" t="s">
        <v>150</v>
      </c>
      <c r="B48" s="8">
        <v>763.2</v>
      </c>
      <c r="C48" s="8">
        <v>654.4</v>
      </c>
      <c r="D48" s="8">
        <v>473.3</v>
      </c>
      <c r="E48" s="8">
        <v>465.8</v>
      </c>
      <c r="F48" s="8">
        <v>416.7</v>
      </c>
    </row>
    <row r="49" spans="1:6" x14ac:dyDescent="0.15">
      <c r="A49" s="5" t="s">
        <v>149</v>
      </c>
      <c r="B49" s="8">
        <v>2381.6</v>
      </c>
      <c r="C49" s="8">
        <v>2704.6</v>
      </c>
      <c r="D49" s="8">
        <v>2646.4</v>
      </c>
      <c r="E49" s="8">
        <v>2697.2</v>
      </c>
      <c r="F49" s="8">
        <v>2733.4</v>
      </c>
    </row>
    <row r="50" spans="1:6" x14ac:dyDescent="0.15">
      <c r="A50" s="5" t="s">
        <v>148</v>
      </c>
      <c r="B50" s="8">
        <v>167</v>
      </c>
      <c r="C50" s="8">
        <v>135.6</v>
      </c>
      <c r="D50" s="8">
        <v>193.5</v>
      </c>
      <c r="E50" s="8">
        <v>208.4</v>
      </c>
      <c r="F50" s="8">
        <v>140.9</v>
      </c>
    </row>
    <row r="51" spans="1:6" x14ac:dyDescent="0.15">
      <c r="A51" s="7" t="s">
        <v>147</v>
      </c>
      <c r="B51" s="16">
        <v>14709.8</v>
      </c>
      <c r="C51" s="16">
        <v>13954.9</v>
      </c>
      <c r="D51" s="16">
        <v>12953.1</v>
      </c>
      <c r="E51" s="16">
        <v>12940</v>
      </c>
      <c r="F51" s="16">
        <v>12611.6</v>
      </c>
    </row>
    <row r="52" spans="1:6" x14ac:dyDescent="0.15">
      <c r="A52" s="5"/>
      <c r="B52" s="5"/>
      <c r="C52" s="5"/>
      <c r="D52" s="5"/>
      <c r="E52" s="5"/>
      <c r="F52" s="5"/>
    </row>
    <row r="53" spans="1:6" x14ac:dyDescent="0.15">
      <c r="A53" s="5" t="s">
        <v>146</v>
      </c>
      <c r="B53" s="8">
        <v>522.20000000000005</v>
      </c>
      <c r="C53" s="8">
        <v>522.1</v>
      </c>
      <c r="D53" s="8">
        <v>517.6</v>
      </c>
      <c r="E53" s="8">
        <v>455.2</v>
      </c>
      <c r="F53" s="8">
        <v>374</v>
      </c>
    </row>
    <row r="54" spans="1:6" x14ac:dyDescent="0.15">
      <c r="A54" s="5" t="s">
        <v>145</v>
      </c>
      <c r="B54" s="8">
        <v>6937.8</v>
      </c>
      <c r="C54" s="8">
        <v>6970.9</v>
      </c>
      <c r="D54" s="8">
        <v>7006.4</v>
      </c>
      <c r="E54" s="8">
        <v>7108.4</v>
      </c>
      <c r="F54" s="8">
        <v>7223.6</v>
      </c>
    </row>
    <row r="55" spans="1:6" x14ac:dyDescent="0.15">
      <c r="A55" s="5" t="s">
        <v>144</v>
      </c>
      <c r="B55" s="8">
        <v>6544.2</v>
      </c>
      <c r="C55" s="8">
        <v>7401.5</v>
      </c>
      <c r="D55" s="8">
        <v>6894.1</v>
      </c>
      <c r="E55" s="8">
        <v>7484.3</v>
      </c>
      <c r="F55" s="8">
        <v>8238</v>
      </c>
    </row>
    <row r="56" spans="1:6" x14ac:dyDescent="0.15">
      <c r="A56" s="5" t="s">
        <v>143</v>
      </c>
      <c r="B56" s="8">
        <v>-471.4</v>
      </c>
      <c r="C56" s="8">
        <v>-471.4</v>
      </c>
      <c r="D56" s="8">
        <v>-522.9</v>
      </c>
      <c r="E56" s="8">
        <v>-735.6</v>
      </c>
      <c r="F56" s="8">
        <v>-1380.8</v>
      </c>
    </row>
    <row r="57" spans="1:6" x14ac:dyDescent="0.15">
      <c r="A57" s="5" t="s">
        <v>142</v>
      </c>
      <c r="B57" s="8">
        <v>-1167.8</v>
      </c>
      <c r="C57" s="8">
        <v>-1006</v>
      </c>
      <c r="D57" s="8">
        <v>-1205.5</v>
      </c>
      <c r="E57" s="8">
        <v>-1116.3</v>
      </c>
      <c r="F57" s="8">
        <v>-1362.4</v>
      </c>
    </row>
    <row r="58" spans="1:6" x14ac:dyDescent="0.15">
      <c r="A58" s="7" t="s">
        <v>141</v>
      </c>
      <c r="B58" s="16">
        <v>12365</v>
      </c>
      <c r="C58" s="16">
        <v>13417.1</v>
      </c>
      <c r="D58" s="16">
        <v>12689.7</v>
      </c>
      <c r="E58" s="16">
        <v>13196</v>
      </c>
      <c r="F58" s="16">
        <v>13092.4</v>
      </c>
    </row>
    <row r="59" spans="1:6" x14ac:dyDescent="0.15">
      <c r="A59" s="5"/>
      <c r="B59" s="5"/>
      <c r="C59" s="5"/>
      <c r="D59" s="5"/>
      <c r="E59" s="5"/>
      <c r="F59" s="5"/>
    </row>
    <row r="60" spans="1:6" x14ac:dyDescent="0.15">
      <c r="A60" s="5" t="s">
        <v>140</v>
      </c>
      <c r="B60" s="8">
        <v>256.3</v>
      </c>
      <c r="C60" s="8">
        <v>247</v>
      </c>
      <c r="D60" s="8">
        <v>225.5</v>
      </c>
      <c r="E60" s="8">
        <v>239.1</v>
      </c>
      <c r="F60" s="8">
        <v>360.3</v>
      </c>
    </row>
    <row r="61" spans="1:6" x14ac:dyDescent="0.15">
      <c r="A61" s="5"/>
      <c r="B61" s="5"/>
      <c r="C61" s="5"/>
      <c r="D61" s="5"/>
      <c r="E61" s="5"/>
      <c r="F61" s="5"/>
    </row>
    <row r="62" spans="1:6" x14ac:dyDescent="0.15">
      <c r="A62" s="7" t="s">
        <v>139</v>
      </c>
      <c r="B62" s="26">
        <v>12621.3</v>
      </c>
      <c r="C62" s="26">
        <v>13664.1</v>
      </c>
      <c r="D62" s="26">
        <v>12915.2</v>
      </c>
      <c r="E62" s="26">
        <v>13435.1</v>
      </c>
      <c r="F62" s="26">
        <v>13452.7</v>
      </c>
    </row>
    <row r="63" spans="1:6" x14ac:dyDescent="0.15">
      <c r="A63" s="5"/>
      <c r="B63" s="5"/>
      <c r="C63" s="5"/>
      <c r="D63" s="5"/>
      <c r="E63" s="5"/>
      <c r="F63" s="5"/>
    </row>
    <row r="64" spans="1:6" x14ac:dyDescent="0.15">
      <c r="A64" s="7" t="s">
        <v>138</v>
      </c>
      <c r="B64" s="25">
        <v>27331.1</v>
      </c>
      <c r="C64" s="25">
        <v>27619</v>
      </c>
      <c r="D64" s="25">
        <v>25868.3</v>
      </c>
      <c r="E64" s="25">
        <v>26375.1</v>
      </c>
      <c r="F64" s="25">
        <v>26064.3</v>
      </c>
    </row>
    <row r="65" spans="1:6" x14ac:dyDescent="0.15">
      <c r="A65" s="5"/>
      <c r="B65" s="5"/>
      <c r="C65" s="5"/>
      <c r="D65" s="5"/>
      <c r="E65" s="5"/>
      <c r="F65" s="5"/>
    </row>
    <row r="66" spans="1:6" x14ac:dyDescent="0.15">
      <c r="A66" s="7" t="s">
        <v>37</v>
      </c>
      <c r="B66" s="5"/>
      <c r="C66" s="5"/>
      <c r="D66" s="5"/>
      <c r="E66" s="5"/>
      <c r="F66" s="5"/>
    </row>
    <row r="67" spans="1:6" x14ac:dyDescent="0.15">
      <c r="A67" s="5" t="s">
        <v>137</v>
      </c>
      <c r="B67" s="8">
        <v>216.78052199999999</v>
      </c>
      <c r="C67" s="8">
        <v>216.98340400000001</v>
      </c>
      <c r="D67" s="8">
        <v>216.291065</v>
      </c>
      <c r="E67" s="8">
        <v>212.60684800000001</v>
      </c>
      <c r="F67" s="8">
        <v>202.60592</v>
      </c>
    </row>
    <row r="68" spans="1:6" x14ac:dyDescent="0.15">
      <c r="A68" s="5" t="s">
        <v>136</v>
      </c>
      <c r="B68" s="8">
        <v>216.7</v>
      </c>
      <c r="C68" s="8">
        <v>217</v>
      </c>
      <c r="D68" s="8">
        <v>216.3</v>
      </c>
      <c r="E68" s="8">
        <v>213.3</v>
      </c>
      <c r="F68" s="8">
        <v>203.2</v>
      </c>
    </row>
    <row r="69" spans="1:6" x14ac:dyDescent="0.15">
      <c r="A69" s="5" t="s">
        <v>135</v>
      </c>
      <c r="B69" s="13">
        <v>57.06</v>
      </c>
      <c r="C69" s="13">
        <v>61.83</v>
      </c>
      <c r="D69" s="13">
        <v>58.67</v>
      </c>
      <c r="E69" s="13">
        <v>61.87</v>
      </c>
      <c r="F69" s="13">
        <v>64.430000000000007</v>
      </c>
    </row>
    <row r="70" spans="1:6" x14ac:dyDescent="0.15">
      <c r="A70" s="5" t="s">
        <v>134</v>
      </c>
      <c r="B70" s="8">
        <v>-7342.1</v>
      </c>
      <c r="C70" s="8">
        <v>-6022.3</v>
      </c>
      <c r="D70" s="8">
        <v>-5402.3</v>
      </c>
      <c r="E70" s="8">
        <v>-4743.8999999999996</v>
      </c>
      <c r="F70" s="8">
        <v>-4685.1000000000004</v>
      </c>
    </row>
    <row r="71" spans="1:6" x14ac:dyDescent="0.15">
      <c r="A71" s="5" t="s">
        <v>133</v>
      </c>
      <c r="B71" s="13">
        <v>-33.880000000000003</v>
      </c>
      <c r="C71" s="13">
        <v>-27.75</v>
      </c>
      <c r="D71" s="13">
        <v>-24.98</v>
      </c>
      <c r="E71" s="13">
        <v>-22.24</v>
      </c>
      <c r="F71" s="13">
        <v>-23.06</v>
      </c>
    </row>
    <row r="72" spans="1:6" x14ac:dyDescent="0.15">
      <c r="A72" s="5" t="s">
        <v>132</v>
      </c>
      <c r="B72" s="8">
        <v>8603.2999999999993</v>
      </c>
      <c r="C72" s="8">
        <v>7466.1</v>
      </c>
      <c r="D72" s="8">
        <v>6706.3</v>
      </c>
      <c r="E72" s="8">
        <v>6434.7</v>
      </c>
      <c r="F72" s="8">
        <v>6354.3</v>
      </c>
    </row>
    <row r="73" spans="1:6" x14ac:dyDescent="0.15">
      <c r="A73" s="5" t="s">
        <v>131</v>
      </c>
      <c r="B73" s="8">
        <v>7833.2</v>
      </c>
      <c r="C73" s="8">
        <v>6828.7</v>
      </c>
      <c r="D73" s="8">
        <v>6106.3</v>
      </c>
      <c r="E73" s="8">
        <v>5565.8</v>
      </c>
      <c r="F73" s="8">
        <v>5385</v>
      </c>
    </row>
    <row r="74" spans="1:6" x14ac:dyDescent="0.15">
      <c r="A74" s="5" t="s">
        <v>130</v>
      </c>
      <c r="B74" s="8">
        <v>-386.9</v>
      </c>
      <c r="C74" s="8">
        <v>-571.70000000000005</v>
      </c>
      <c r="D74" s="8">
        <v>-358.8</v>
      </c>
      <c r="E74" s="8">
        <v>-378.8</v>
      </c>
      <c r="F74" s="8">
        <v>-366.9</v>
      </c>
    </row>
    <row r="75" spans="1:6" x14ac:dyDescent="0.15">
      <c r="A75" s="5" t="s">
        <v>129</v>
      </c>
      <c r="B75" s="8">
        <v>571.20000000000005</v>
      </c>
      <c r="C75" s="8">
        <v>585.6</v>
      </c>
      <c r="D75" s="8">
        <v>580</v>
      </c>
      <c r="E75" s="8">
        <v>650.4</v>
      </c>
      <c r="F75" s="8">
        <v>695.2</v>
      </c>
    </row>
    <row r="76" spans="1:6" x14ac:dyDescent="0.15">
      <c r="A76" s="5" t="s">
        <v>128</v>
      </c>
      <c r="B76" s="8">
        <v>256.3</v>
      </c>
      <c r="C76" s="8">
        <v>247</v>
      </c>
      <c r="D76" s="8">
        <v>225.5</v>
      </c>
      <c r="E76" s="8">
        <v>239.1</v>
      </c>
      <c r="F76" s="8">
        <v>360.3</v>
      </c>
    </row>
    <row r="77" spans="1:6" ht="12" x14ac:dyDescent="0.15">
      <c r="A77" s="5" t="s">
        <v>127</v>
      </c>
      <c r="B77" s="8" t="s">
        <v>9</v>
      </c>
      <c r="C77" s="8" t="s">
        <v>9</v>
      </c>
      <c r="D77" s="8" t="s">
        <v>9</v>
      </c>
      <c r="E77" s="8">
        <v>222.7</v>
      </c>
      <c r="F77" s="8">
        <v>108.9</v>
      </c>
    </row>
    <row r="78" spans="1:6" ht="12" x14ac:dyDescent="0.15">
      <c r="A78" s="5" t="s">
        <v>126</v>
      </c>
      <c r="B78" s="9" t="s">
        <v>125</v>
      </c>
      <c r="C78" s="9" t="s">
        <v>125</v>
      </c>
      <c r="D78" s="9" t="s">
        <v>125</v>
      </c>
      <c r="E78" s="9" t="s">
        <v>125</v>
      </c>
      <c r="F78" s="9" t="s">
        <v>125</v>
      </c>
    </row>
    <row r="79" spans="1:6" x14ac:dyDescent="0.15">
      <c r="A79" s="5" t="s">
        <v>124</v>
      </c>
      <c r="B79" s="8">
        <v>324.89999999999998</v>
      </c>
      <c r="C79" s="8">
        <v>381.4</v>
      </c>
      <c r="D79" s="8">
        <v>451.9</v>
      </c>
      <c r="E79" s="8">
        <v>459.2</v>
      </c>
      <c r="F79" s="8">
        <v>398.2</v>
      </c>
    </row>
    <row r="80" spans="1:6" x14ac:dyDescent="0.15">
      <c r="A80" s="5" t="s">
        <v>123</v>
      </c>
      <c r="B80" s="8">
        <v>72.7</v>
      </c>
      <c r="C80" s="8">
        <v>71.8</v>
      </c>
      <c r="D80" s="8">
        <v>71.900000000000006</v>
      </c>
      <c r="E80" s="8">
        <v>97.4</v>
      </c>
      <c r="F80" s="8">
        <v>83.8</v>
      </c>
    </row>
    <row r="81" spans="1:6" x14ac:dyDescent="0.15">
      <c r="A81" s="5" t="s">
        <v>122</v>
      </c>
      <c r="B81" s="8">
        <v>266.7</v>
      </c>
      <c r="C81" s="8">
        <v>351.5</v>
      </c>
      <c r="D81" s="8">
        <v>269.10000000000002</v>
      </c>
      <c r="E81" s="8">
        <v>245.7</v>
      </c>
      <c r="F81" s="8">
        <v>245.8</v>
      </c>
    </row>
    <row r="82" spans="1:6" x14ac:dyDescent="0.15">
      <c r="A82" s="5" t="s">
        <v>121</v>
      </c>
      <c r="B82" s="8">
        <v>341.3</v>
      </c>
      <c r="C82" s="8">
        <v>355.9</v>
      </c>
      <c r="D82" s="8">
        <v>355.9</v>
      </c>
      <c r="E82" s="8">
        <v>365.1</v>
      </c>
      <c r="F82" s="8">
        <v>362.9</v>
      </c>
    </row>
    <row r="83" spans="1:6" x14ac:dyDescent="0.15">
      <c r="A83" s="5" t="s">
        <v>120</v>
      </c>
      <c r="B83" s="8">
        <v>1074.8</v>
      </c>
      <c r="C83" s="8">
        <v>1225.0999999999999</v>
      </c>
      <c r="D83" s="8">
        <v>1205.5</v>
      </c>
      <c r="E83" s="8">
        <v>1283.4000000000001</v>
      </c>
      <c r="F83" s="8">
        <v>1450.2</v>
      </c>
    </row>
    <row r="84" spans="1:6" x14ac:dyDescent="0.15">
      <c r="A84" s="5" t="s">
        <v>119</v>
      </c>
      <c r="B84" s="8">
        <v>4833.6000000000004</v>
      </c>
      <c r="C84" s="8">
        <v>4858.5</v>
      </c>
      <c r="D84" s="8">
        <v>4897.3</v>
      </c>
      <c r="E84" s="8">
        <v>5156</v>
      </c>
      <c r="F84" s="8">
        <v>5479.8</v>
      </c>
    </row>
    <row r="85" spans="1:6" x14ac:dyDescent="0.15">
      <c r="A85" s="5" t="s">
        <v>118</v>
      </c>
      <c r="B85" s="8">
        <v>532.1</v>
      </c>
      <c r="C85" s="8">
        <v>335.2</v>
      </c>
      <c r="D85" s="8">
        <v>497.4</v>
      </c>
      <c r="E85" s="8">
        <v>783.7</v>
      </c>
      <c r="F85" s="8">
        <v>612.1</v>
      </c>
    </row>
    <row r="86" spans="1:6" ht="12" x14ac:dyDescent="0.15">
      <c r="A86" s="5" t="s">
        <v>117</v>
      </c>
      <c r="B86" s="8">
        <v>3.8</v>
      </c>
      <c r="C86" s="8" t="s">
        <v>4</v>
      </c>
      <c r="D86" s="8" t="s">
        <v>4</v>
      </c>
      <c r="E86" s="8" t="s">
        <v>4</v>
      </c>
      <c r="F86" s="8" t="s">
        <v>4</v>
      </c>
    </row>
    <row r="87" spans="1:6" x14ac:dyDescent="0.15">
      <c r="A87" s="5" t="s">
        <v>116</v>
      </c>
      <c r="B87" s="24">
        <v>17000</v>
      </c>
      <c r="C87" s="24">
        <v>16300</v>
      </c>
      <c r="D87" s="24">
        <v>16600</v>
      </c>
      <c r="E87" s="24">
        <v>16500</v>
      </c>
      <c r="F87" s="24">
        <v>16800</v>
      </c>
    </row>
    <row r="88" spans="1:6" x14ac:dyDescent="0.15">
      <c r="A88" s="5" t="s">
        <v>115</v>
      </c>
      <c r="B88" s="8">
        <v>18.100000000000001</v>
      </c>
      <c r="C88" s="8">
        <v>19</v>
      </c>
      <c r="D88" s="8">
        <v>13.2</v>
      </c>
      <c r="E88" s="8">
        <v>12.7</v>
      </c>
      <c r="F88" s="8">
        <v>8.9</v>
      </c>
    </row>
    <row r="89" spans="1:6" x14ac:dyDescent="0.15">
      <c r="A89" s="5" t="s">
        <v>20</v>
      </c>
      <c r="B89" s="10">
        <v>44978</v>
      </c>
      <c r="C89" s="10">
        <v>45342</v>
      </c>
      <c r="D89" s="10">
        <v>45706</v>
      </c>
      <c r="E89" s="10">
        <v>45706</v>
      </c>
      <c r="F89" s="10">
        <v>45706</v>
      </c>
    </row>
    <row r="90" spans="1:6" ht="12" x14ac:dyDescent="0.15">
      <c r="A90" s="5" t="s">
        <v>19</v>
      </c>
      <c r="B90" s="9" t="s">
        <v>17</v>
      </c>
      <c r="C90" s="9" t="s">
        <v>17</v>
      </c>
      <c r="D90" s="9" t="s">
        <v>17</v>
      </c>
      <c r="E90" s="9" t="s">
        <v>17</v>
      </c>
      <c r="F90" s="9" t="s">
        <v>16</v>
      </c>
    </row>
    <row r="91" spans="1:6" ht="12" x14ac:dyDescent="0.15">
      <c r="A91" s="5" t="s">
        <v>15</v>
      </c>
      <c r="B91" s="9" t="s">
        <v>114</v>
      </c>
      <c r="C91" s="9" t="s">
        <v>114</v>
      </c>
      <c r="D91" s="9" t="s">
        <v>114</v>
      </c>
      <c r="E91" s="9" t="s">
        <v>14</v>
      </c>
      <c r="F91" s="9" t="s">
        <v>14</v>
      </c>
    </row>
    <row r="92" spans="1:6" x14ac:dyDescent="0.15">
      <c r="A92" s="5"/>
      <c r="B92" s="5"/>
      <c r="C92" s="5"/>
      <c r="D92" s="5"/>
      <c r="E92" s="5"/>
      <c r="F92" s="5"/>
    </row>
    <row r="93" spans="1:6" x14ac:dyDescent="0.15">
      <c r="A93" s="3"/>
      <c r="B93" s="3"/>
      <c r="C93" s="3"/>
      <c r="D93" s="3"/>
      <c r="E93" s="3"/>
      <c r="F93" s="3"/>
    </row>
    <row r="94" spans="1:6" x14ac:dyDescent="0.15">
      <c r="A94" s="1" t="s">
        <v>113</v>
      </c>
    </row>
    <row r="95" spans="1:6" x14ac:dyDescent="0.15">
      <c r="A95" s="2" t="s">
        <v>0</v>
      </c>
    </row>
  </sheetData>
  <pageMargins left="0.2" right="0.2" top="0.5" bottom="0.5" header="0.5" footer="0.5"/>
  <pageSetup fitToWidth="0" fitToHeight="0" orientation="landscape" horizontalDpi="0" verticalDpi="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CE9DAD-B9FA-8348-817A-04325356F2EF}">
  <sheetPr>
    <outlinePr summaryBelow="0" summaryRight="0"/>
    <pageSetUpPr autoPageBreaks="0"/>
  </sheetPr>
  <dimension ref="A5:IU75"/>
  <sheetViews>
    <sheetView topLeftCell="B1" zoomScale="200" workbookViewId="0">
      <selection activeCell="H18" sqref="H18"/>
    </sheetView>
  </sheetViews>
  <sheetFormatPr baseColWidth="10" defaultRowHeight="11" x14ac:dyDescent="0.15"/>
  <cols>
    <col min="1" max="1" width="45.83203125" style="1" customWidth="1"/>
    <col min="2" max="6" width="14.83203125" style="1" customWidth="1"/>
    <col min="7" max="256" width="8.83203125" style="1" customWidth="1"/>
    <col min="257" max="16384" width="10.83203125" style="1"/>
  </cols>
  <sheetData>
    <row r="5" spans="1:255" ht="17" x14ac:dyDescent="0.2">
      <c r="A5" s="23" t="s">
        <v>320</v>
      </c>
    </row>
    <row r="7" spans="1:255" ht="12" x14ac:dyDescent="0.15">
      <c r="A7" s="22" t="s">
        <v>111</v>
      </c>
      <c r="B7" s="20" t="s">
        <v>110</v>
      </c>
      <c r="C7" s="1" t="s">
        <v>109</v>
      </c>
      <c r="D7" s="5" t="s">
        <v>92</v>
      </c>
      <c r="E7" s="20" t="s">
        <v>108</v>
      </c>
      <c r="F7" s="1" t="s">
        <v>107</v>
      </c>
    </row>
    <row r="8" spans="1:255" x14ac:dyDescent="0.15">
      <c r="A8" s="5"/>
      <c r="B8" s="20" t="s">
        <v>106</v>
      </c>
      <c r="C8" s="1" t="s">
        <v>105</v>
      </c>
      <c r="D8" s="5" t="s">
        <v>92</v>
      </c>
      <c r="E8" s="20" t="s">
        <v>104</v>
      </c>
      <c r="F8" s="1" t="s">
        <v>103</v>
      </c>
    </row>
    <row r="9" spans="1:255" x14ac:dyDescent="0.15">
      <c r="A9" s="5"/>
      <c r="B9" s="20" t="s">
        <v>102</v>
      </c>
      <c r="C9" s="1" t="s">
        <v>101</v>
      </c>
      <c r="D9" s="5" t="s">
        <v>92</v>
      </c>
      <c r="E9" s="20" t="s">
        <v>100</v>
      </c>
      <c r="F9" s="1" t="s">
        <v>99</v>
      </c>
    </row>
    <row r="10" spans="1:255" x14ac:dyDescent="0.15">
      <c r="A10" s="5"/>
      <c r="B10" s="20" t="s">
        <v>98</v>
      </c>
      <c r="C10" s="1" t="s">
        <v>97</v>
      </c>
      <c r="D10" s="5" t="s">
        <v>92</v>
      </c>
      <c r="E10" s="20" t="s">
        <v>96</v>
      </c>
      <c r="F10" s="21" t="s">
        <v>95</v>
      </c>
    </row>
    <row r="11" spans="1:255" x14ac:dyDescent="0.15">
      <c r="A11" s="5"/>
      <c r="B11" s="20" t="s">
        <v>94</v>
      </c>
      <c r="C11" s="1" t="s">
        <v>93</v>
      </c>
      <c r="D11" s="5" t="s">
        <v>92</v>
      </c>
      <c r="E11" s="19"/>
      <c r="F11" s="19"/>
    </row>
    <row r="14" spans="1:255" x14ac:dyDescent="0.15">
      <c r="A14" s="18" t="s">
        <v>319</v>
      </c>
      <c r="B14" s="18"/>
      <c r="C14" s="18"/>
      <c r="D14" s="18"/>
      <c r="E14" s="18"/>
      <c r="F14" s="18"/>
      <c r="G14" s="17"/>
      <c r="H14" s="17"/>
      <c r="I14" s="17"/>
      <c r="J14" s="17"/>
      <c r="K14" s="17"/>
      <c r="L14" s="17"/>
      <c r="M14" s="17"/>
      <c r="N14" s="17"/>
      <c r="O14" s="17"/>
      <c r="P14" s="17"/>
      <c r="Q14" s="17"/>
      <c r="R14" s="17"/>
      <c r="S14" s="17"/>
      <c r="T14" s="17"/>
      <c r="U14" s="17"/>
      <c r="V14" s="17"/>
      <c r="W14" s="17"/>
      <c r="X14" s="17"/>
      <c r="Y14" s="17"/>
      <c r="Z14" s="17"/>
      <c r="AA14" s="17"/>
      <c r="AB14" s="17"/>
      <c r="AC14" s="17"/>
      <c r="AD14" s="17"/>
      <c r="AE14" s="17"/>
      <c r="AF14" s="17"/>
      <c r="AG14" s="17"/>
      <c r="AH14" s="17"/>
      <c r="AI14" s="17"/>
      <c r="AJ14" s="17"/>
      <c r="AK14" s="17"/>
      <c r="AL14" s="17"/>
      <c r="AM14" s="17"/>
      <c r="AN14" s="17"/>
      <c r="AO14" s="17"/>
      <c r="AP14" s="17"/>
      <c r="AQ14" s="17"/>
      <c r="AR14" s="17"/>
      <c r="AS14" s="17"/>
      <c r="AT14" s="17"/>
      <c r="AU14" s="17"/>
      <c r="AV14" s="17"/>
      <c r="AW14" s="17"/>
      <c r="AX14" s="17"/>
      <c r="AY14" s="17"/>
      <c r="AZ14" s="17"/>
      <c r="BA14" s="17"/>
      <c r="BB14" s="17"/>
      <c r="BC14" s="17"/>
      <c r="BD14" s="17"/>
      <c r="BE14" s="17"/>
      <c r="BF14" s="17"/>
      <c r="BG14" s="17"/>
      <c r="BH14" s="17"/>
      <c r="BI14" s="17"/>
      <c r="BJ14" s="17"/>
      <c r="BK14" s="17"/>
      <c r="BL14" s="17"/>
      <c r="BM14" s="17"/>
      <c r="BN14" s="17"/>
      <c r="BO14" s="17"/>
      <c r="BP14" s="17"/>
      <c r="BQ14" s="17"/>
      <c r="BR14" s="17"/>
      <c r="BS14" s="17"/>
      <c r="BT14" s="17"/>
      <c r="BU14" s="17"/>
      <c r="BV14" s="17"/>
      <c r="BW14" s="17"/>
      <c r="BX14" s="17"/>
      <c r="BY14" s="17"/>
      <c r="BZ14" s="17"/>
      <c r="CA14" s="17"/>
      <c r="CB14" s="17"/>
      <c r="CC14" s="17"/>
      <c r="CD14" s="17"/>
      <c r="CE14" s="17"/>
      <c r="CF14" s="17"/>
      <c r="CG14" s="17"/>
      <c r="CH14" s="17"/>
      <c r="CI14" s="17"/>
      <c r="CJ14" s="17"/>
      <c r="CK14" s="17"/>
      <c r="CL14" s="17"/>
      <c r="CM14" s="17"/>
      <c r="CN14" s="17"/>
      <c r="CO14" s="17"/>
      <c r="CP14" s="17"/>
      <c r="CQ14" s="17"/>
      <c r="CR14" s="17"/>
      <c r="CS14" s="17"/>
      <c r="CT14" s="17"/>
      <c r="CU14" s="17"/>
      <c r="CV14" s="17"/>
      <c r="CW14" s="17"/>
      <c r="CX14" s="17"/>
      <c r="CY14" s="17"/>
      <c r="CZ14" s="17"/>
      <c r="DA14" s="17"/>
      <c r="DB14" s="17"/>
      <c r="DC14" s="17"/>
      <c r="DD14" s="17"/>
      <c r="DE14" s="17"/>
      <c r="DF14" s="17"/>
      <c r="DG14" s="17"/>
      <c r="DH14" s="17"/>
      <c r="DI14" s="17"/>
      <c r="DJ14" s="17"/>
      <c r="DK14" s="17"/>
      <c r="DL14" s="17"/>
      <c r="DM14" s="17"/>
      <c r="DN14" s="17"/>
      <c r="DO14" s="17"/>
      <c r="DP14" s="17"/>
      <c r="DQ14" s="17"/>
      <c r="DR14" s="17"/>
      <c r="DS14" s="17"/>
      <c r="DT14" s="17"/>
      <c r="DU14" s="17"/>
      <c r="DV14" s="17"/>
      <c r="DW14" s="17"/>
      <c r="DX14" s="17"/>
      <c r="DY14" s="17"/>
      <c r="DZ14" s="17"/>
      <c r="EA14" s="17"/>
      <c r="EB14" s="17"/>
      <c r="EC14" s="17"/>
      <c r="ED14" s="17"/>
      <c r="EE14" s="17"/>
      <c r="EF14" s="17"/>
      <c r="EG14" s="17"/>
      <c r="EH14" s="17"/>
      <c r="EI14" s="17"/>
      <c r="EJ14" s="17"/>
      <c r="EK14" s="17"/>
      <c r="EL14" s="17"/>
      <c r="EM14" s="17"/>
      <c r="EN14" s="17"/>
      <c r="EO14" s="17"/>
      <c r="EP14" s="17"/>
      <c r="EQ14" s="17"/>
      <c r="ER14" s="17"/>
      <c r="ES14" s="17"/>
      <c r="ET14" s="17"/>
      <c r="EU14" s="17"/>
      <c r="EV14" s="17"/>
      <c r="EW14" s="17"/>
      <c r="EX14" s="17"/>
      <c r="EY14" s="17"/>
      <c r="EZ14" s="17"/>
      <c r="FA14" s="17"/>
      <c r="FB14" s="17"/>
      <c r="FC14" s="17"/>
      <c r="FD14" s="17"/>
      <c r="FE14" s="17"/>
      <c r="FF14" s="17"/>
      <c r="FG14" s="17"/>
      <c r="FH14" s="17"/>
      <c r="FI14" s="17"/>
      <c r="FJ14" s="17"/>
      <c r="FK14" s="17"/>
      <c r="FL14" s="17"/>
      <c r="FM14" s="17"/>
      <c r="FN14" s="17"/>
      <c r="FO14" s="17"/>
      <c r="FP14" s="17"/>
      <c r="FQ14" s="17"/>
      <c r="FR14" s="17"/>
      <c r="FS14" s="17"/>
      <c r="FT14" s="17"/>
      <c r="FU14" s="17"/>
      <c r="FV14" s="17"/>
      <c r="FW14" s="17"/>
      <c r="FX14" s="17"/>
      <c r="FY14" s="17"/>
      <c r="FZ14" s="17"/>
      <c r="GA14" s="17"/>
      <c r="GB14" s="17"/>
      <c r="GC14" s="17"/>
      <c r="GD14" s="17"/>
      <c r="GE14" s="17"/>
      <c r="GF14" s="17"/>
      <c r="GG14" s="17"/>
      <c r="GH14" s="17"/>
      <c r="GI14" s="17"/>
      <c r="GJ14" s="17"/>
      <c r="GK14" s="17"/>
      <c r="GL14" s="17"/>
      <c r="GM14" s="17"/>
      <c r="GN14" s="17"/>
      <c r="GO14" s="17"/>
      <c r="GP14" s="17"/>
      <c r="GQ14" s="17"/>
      <c r="GR14" s="17"/>
      <c r="GS14" s="17"/>
      <c r="GT14" s="17"/>
      <c r="GU14" s="17"/>
      <c r="GV14" s="17"/>
      <c r="GW14" s="17"/>
      <c r="GX14" s="17"/>
      <c r="GY14" s="17"/>
      <c r="GZ14" s="17"/>
      <c r="HA14" s="17"/>
      <c r="HB14" s="17"/>
      <c r="HC14" s="17"/>
      <c r="HD14" s="17"/>
      <c r="HE14" s="17"/>
      <c r="HF14" s="17"/>
      <c r="HG14" s="17"/>
      <c r="HH14" s="17"/>
      <c r="HI14" s="17"/>
      <c r="HJ14" s="17"/>
      <c r="HK14" s="17"/>
      <c r="HL14" s="17"/>
      <c r="HM14" s="17"/>
      <c r="HN14" s="17"/>
      <c r="HO14" s="17"/>
      <c r="HP14" s="17"/>
      <c r="HQ14" s="17"/>
      <c r="HR14" s="17"/>
      <c r="HS14" s="17"/>
      <c r="HT14" s="17"/>
      <c r="HU14" s="17"/>
      <c r="HV14" s="17"/>
      <c r="HW14" s="17"/>
      <c r="HX14" s="17"/>
      <c r="HY14" s="17"/>
      <c r="HZ14" s="17"/>
      <c r="IA14" s="17"/>
      <c r="IB14" s="17"/>
      <c r="IC14" s="17"/>
      <c r="ID14" s="17"/>
      <c r="IE14" s="17"/>
      <c r="IF14" s="17"/>
      <c r="IG14" s="17"/>
      <c r="IH14" s="17"/>
      <c r="II14" s="17"/>
      <c r="IJ14" s="17"/>
      <c r="IK14" s="17"/>
      <c r="IL14" s="17"/>
      <c r="IM14" s="17"/>
      <c r="IN14" s="17"/>
      <c r="IO14" s="17"/>
      <c r="IP14" s="17"/>
      <c r="IQ14" s="17"/>
      <c r="IR14" s="17"/>
      <c r="IS14" s="17"/>
      <c r="IT14" s="17"/>
      <c r="IU14" s="17"/>
    </row>
    <row r="15" spans="1:255" ht="24" x14ac:dyDescent="0.15">
      <c r="A15" s="27" t="s">
        <v>90</v>
      </c>
      <c r="B15" s="28">
        <v>2020</v>
      </c>
      <c r="C15" s="28">
        <f>B15+1</f>
        <v>2021</v>
      </c>
      <c r="D15" s="28">
        <f t="shared" ref="D15:F15" si="0">C15+1</f>
        <v>2022</v>
      </c>
      <c r="E15" s="28">
        <f t="shared" si="0"/>
        <v>2023</v>
      </c>
      <c r="F15" s="28">
        <f t="shared" si="0"/>
        <v>2024</v>
      </c>
    </row>
    <row r="16" spans="1:255" ht="12" x14ac:dyDescent="0.15">
      <c r="A16" s="29" t="s">
        <v>89</v>
      </c>
      <c r="B16" s="30" t="s">
        <v>88</v>
      </c>
      <c r="C16" s="30" t="s">
        <v>88</v>
      </c>
      <c r="D16" s="30" t="s">
        <v>88</v>
      </c>
      <c r="E16" s="30" t="s">
        <v>88</v>
      </c>
      <c r="F16" s="30" t="s">
        <v>88</v>
      </c>
    </row>
    <row r="17" spans="1:6" x14ac:dyDescent="0.15">
      <c r="A17" s="7" t="s">
        <v>318</v>
      </c>
      <c r="B17" s="5"/>
      <c r="C17" s="5"/>
      <c r="D17" s="5"/>
      <c r="E17" s="5"/>
      <c r="F17" s="5"/>
    </row>
    <row r="18" spans="1:6" x14ac:dyDescent="0.15">
      <c r="A18" s="7" t="s">
        <v>317</v>
      </c>
      <c r="B18" s="6">
        <v>-949</v>
      </c>
      <c r="C18" s="6">
        <v>1005.7</v>
      </c>
      <c r="D18" s="6">
        <v>-175.3</v>
      </c>
      <c r="E18" s="6">
        <v>948.9</v>
      </c>
      <c r="F18" s="6">
        <v>1122.4000000000001</v>
      </c>
    </row>
    <row r="19" spans="1:6" x14ac:dyDescent="0.15">
      <c r="A19" s="5" t="s">
        <v>80</v>
      </c>
      <c r="B19" s="8">
        <v>589.70000000000005</v>
      </c>
      <c r="C19" s="8">
        <v>552.70000000000005</v>
      </c>
      <c r="D19" s="8">
        <v>476.7</v>
      </c>
      <c r="E19" s="8">
        <v>475.5</v>
      </c>
      <c r="F19" s="8">
        <v>459.4</v>
      </c>
    </row>
    <row r="20" spans="1:6" x14ac:dyDescent="0.15">
      <c r="A20" s="5" t="s">
        <v>79</v>
      </c>
      <c r="B20" s="8">
        <v>220</v>
      </c>
      <c r="C20" s="8">
        <v>218</v>
      </c>
      <c r="D20" s="8">
        <v>208.1</v>
      </c>
      <c r="E20" s="8">
        <v>207.3</v>
      </c>
      <c r="F20" s="8">
        <v>206.4</v>
      </c>
    </row>
    <row r="21" spans="1:6" x14ac:dyDescent="0.15">
      <c r="A21" s="7" t="s">
        <v>316</v>
      </c>
      <c r="B21" s="16">
        <v>809.7</v>
      </c>
      <c r="C21" s="16">
        <v>770.7</v>
      </c>
      <c r="D21" s="16">
        <v>684.8</v>
      </c>
      <c r="E21" s="16">
        <v>682.8</v>
      </c>
      <c r="F21" s="16">
        <v>665.8</v>
      </c>
    </row>
    <row r="22" spans="1:6" x14ac:dyDescent="0.15">
      <c r="A22" s="5"/>
      <c r="B22" s="5"/>
      <c r="C22" s="5"/>
      <c r="D22" s="5"/>
      <c r="E22" s="5"/>
      <c r="F22" s="5"/>
    </row>
    <row r="23" spans="1:6" x14ac:dyDescent="0.15">
      <c r="A23" s="5" t="s">
        <v>315</v>
      </c>
      <c r="B23" s="8">
        <v>8.1</v>
      </c>
      <c r="C23" s="8">
        <v>6.7</v>
      </c>
      <c r="D23" s="8">
        <v>7.7</v>
      </c>
      <c r="E23" s="8">
        <v>5.7</v>
      </c>
      <c r="F23" s="8">
        <v>5.3</v>
      </c>
    </row>
    <row r="24" spans="1:6" x14ac:dyDescent="0.15">
      <c r="A24" s="5" t="s">
        <v>314</v>
      </c>
      <c r="B24" s="8">
        <v>-1415.1</v>
      </c>
      <c r="C24" s="8">
        <v>9.1</v>
      </c>
      <c r="D24" s="8">
        <v>18.600000000000001</v>
      </c>
      <c r="E24" s="8">
        <v>181.9</v>
      </c>
      <c r="F24" s="8">
        <v>51.8</v>
      </c>
    </row>
    <row r="25" spans="1:6" ht="12" x14ac:dyDescent="0.15">
      <c r="A25" s="5" t="s">
        <v>313</v>
      </c>
      <c r="B25" s="8">
        <v>3080.9</v>
      </c>
      <c r="C25" s="8">
        <v>15.4</v>
      </c>
      <c r="D25" s="8">
        <v>845</v>
      </c>
      <c r="E25" s="8" t="s">
        <v>4</v>
      </c>
      <c r="F25" s="8">
        <v>93.6</v>
      </c>
    </row>
    <row r="26" spans="1:6" ht="12" x14ac:dyDescent="0.15">
      <c r="A26" s="5" t="s">
        <v>312</v>
      </c>
      <c r="B26" s="8" t="s">
        <v>4</v>
      </c>
      <c r="C26" s="8" t="s">
        <v>4</v>
      </c>
      <c r="D26" s="8">
        <v>-4.7</v>
      </c>
      <c r="E26" s="8">
        <v>-12</v>
      </c>
      <c r="F26" s="8">
        <v>-2.7</v>
      </c>
    </row>
    <row r="27" spans="1:6" x14ac:dyDescent="0.15">
      <c r="A27" s="5" t="s">
        <v>311</v>
      </c>
      <c r="B27" s="8">
        <v>24.2</v>
      </c>
      <c r="C27" s="8">
        <v>32.1</v>
      </c>
      <c r="D27" s="8">
        <v>33.6</v>
      </c>
      <c r="E27" s="8">
        <v>44.9</v>
      </c>
      <c r="F27" s="8">
        <v>43.1</v>
      </c>
    </row>
    <row r="28" spans="1:6" x14ac:dyDescent="0.15">
      <c r="A28" s="5" t="s">
        <v>310</v>
      </c>
      <c r="B28" s="8">
        <v>60.8</v>
      </c>
      <c r="C28" s="8">
        <v>-230.1</v>
      </c>
      <c r="D28" s="8">
        <v>275.5</v>
      </c>
      <c r="E28" s="8">
        <v>146.4</v>
      </c>
      <c r="F28" s="8">
        <v>109.1</v>
      </c>
    </row>
    <row r="29" spans="1:6" x14ac:dyDescent="0.15">
      <c r="A29" s="5" t="s">
        <v>309</v>
      </c>
      <c r="B29" s="8">
        <v>160.80000000000001</v>
      </c>
      <c r="C29" s="8">
        <v>-137.6</v>
      </c>
      <c r="D29" s="8">
        <v>-108.5</v>
      </c>
      <c r="E29" s="8">
        <v>-0.7</v>
      </c>
      <c r="F29" s="8">
        <v>39.6</v>
      </c>
    </row>
    <row r="30" spans="1:6" x14ac:dyDescent="0.15">
      <c r="A30" s="5" t="s">
        <v>308</v>
      </c>
      <c r="B30" s="8">
        <v>-46.2</v>
      </c>
      <c r="C30" s="8">
        <v>-143.9</v>
      </c>
      <c r="D30" s="8">
        <v>-64.599999999999994</v>
      </c>
      <c r="E30" s="8">
        <v>21.7</v>
      </c>
      <c r="F30" s="8">
        <v>55.1</v>
      </c>
    </row>
    <row r="31" spans="1:6" x14ac:dyDescent="0.15">
      <c r="A31" s="5" t="s">
        <v>307</v>
      </c>
      <c r="B31" s="8">
        <v>-50.1</v>
      </c>
      <c r="C31" s="8">
        <v>285.5</v>
      </c>
      <c r="D31" s="8">
        <v>-16.100000000000001</v>
      </c>
      <c r="E31" s="8">
        <v>50.2</v>
      </c>
      <c r="F31" s="8">
        <v>-234.4</v>
      </c>
    </row>
    <row r="32" spans="1:6" x14ac:dyDescent="0.15">
      <c r="A32" s="5" t="s">
        <v>306</v>
      </c>
      <c r="B32" s="8">
        <v>11.6</v>
      </c>
      <c r="C32" s="8">
        <v>-40.1</v>
      </c>
      <c r="D32" s="8">
        <v>6</v>
      </c>
      <c r="E32" s="8">
        <v>9.1999999999999993</v>
      </c>
      <c r="F32" s="8">
        <v>-38.4</v>
      </c>
    </row>
    <row r="33" spans="1:6" x14ac:dyDescent="0.15">
      <c r="A33" s="7" t="s">
        <v>183</v>
      </c>
      <c r="B33" s="16">
        <v>1695.7</v>
      </c>
      <c r="C33" s="16">
        <v>1573.5</v>
      </c>
      <c r="D33" s="16">
        <v>1502</v>
      </c>
      <c r="E33" s="16">
        <v>2079</v>
      </c>
      <c r="F33" s="16">
        <v>1910.3</v>
      </c>
    </row>
    <row r="34" spans="1:6" x14ac:dyDescent="0.15">
      <c r="A34" s="5"/>
      <c r="B34" s="5"/>
      <c r="C34" s="5"/>
      <c r="D34" s="5"/>
      <c r="E34" s="5"/>
      <c r="F34" s="5"/>
    </row>
    <row r="35" spans="1:6" x14ac:dyDescent="0.15">
      <c r="A35" s="5" t="s">
        <v>305</v>
      </c>
      <c r="B35" s="8">
        <v>-574.79999999999995</v>
      </c>
      <c r="C35" s="8">
        <v>-522.6</v>
      </c>
      <c r="D35" s="8">
        <v>-661.4</v>
      </c>
      <c r="E35" s="8">
        <v>-671.5</v>
      </c>
      <c r="F35" s="8">
        <v>-674.1</v>
      </c>
    </row>
    <row r="36" spans="1:6" x14ac:dyDescent="0.15">
      <c r="A36" s="5" t="s">
        <v>304</v>
      </c>
      <c r="B36" s="8">
        <v>158.80000000000001</v>
      </c>
      <c r="C36" s="8">
        <v>26</v>
      </c>
      <c r="D36" s="8">
        <v>32.200000000000003</v>
      </c>
      <c r="E36" s="8">
        <v>10.9</v>
      </c>
      <c r="F36" s="8">
        <v>24.5</v>
      </c>
    </row>
    <row r="37" spans="1:6" ht="12" x14ac:dyDescent="0.15">
      <c r="A37" s="5" t="s">
        <v>303</v>
      </c>
      <c r="B37" s="8" t="s">
        <v>4</v>
      </c>
      <c r="C37" s="8" t="s">
        <v>4</v>
      </c>
      <c r="D37" s="8" t="s">
        <v>4</v>
      </c>
      <c r="E37" s="8">
        <v>-63.7</v>
      </c>
      <c r="F37" s="8">
        <v>-8.6</v>
      </c>
    </row>
    <row r="38" spans="1:6" ht="12" x14ac:dyDescent="0.15">
      <c r="A38" s="5" t="s">
        <v>302</v>
      </c>
      <c r="B38" s="8" t="s">
        <v>4</v>
      </c>
      <c r="C38" s="8" t="s">
        <v>4</v>
      </c>
      <c r="D38" s="8" t="s">
        <v>4</v>
      </c>
      <c r="E38" s="8" t="s">
        <v>4</v>
      </c>
      <c r="F38" s="8" t="s">
        <v>4</v>
      </c>
    </row>
    <row r="39" spans="1:6" ht="12" x14ac:dyDescent="0.15">
      <c r="A39" s="5" t="s">
        <v>301</v>
      </c>
      <c r="B39" s="8" t="s">
        <v>4</v>
      </c>
      <c r="C39" s="8" t="s">
        <v>4</v>
      </c>
      <c r="D39" s="8" t="s">
        <v>4</v>
      </c>
      <c r="E39" s="8" t="s">
        <v>4</v>
      </c>
      <c r="F39" s="8" t="s">
        <v>4</v>
      </c>
    </row>
    <row r="40" spans="1:6" ht="12" x14ac:dyDescent="0.15">
      <c r="A40" s="5" t="s">
        <v>300</v>
      </c>
      <c r="B40" s="8" t="s">
        <v>4</v>
      </c>
      <c r="C40" s="8" t="s">
        <v>4</v>
      </c>
      <c r="D40" s="8" t="s">
        <v>4</v>
      </c>
      <c r="E40" s="8" t="s">
        <v>4</v>
      </c>
      <c r="F40" s="8" t="s">
        <v>4</v>
      </c>
    </row>
    <row r="41" spans="1:6" x14ac:dyDescent="0.15">
      <c r="A41" s="5" t="s">
        <v>299</v>
      </c>
      <c r="B41" s="8">
        <v>2.4</v>
      </c>
      <c r="C41" s="8">
        <v>-13.3</v>
      </c>
      <c r="D41" s="8">
        <v>4.0999999999999996</v>
      </c>
      <c r="E41" s="8">
        <v>-117.4</v>
      </c>
      <c r="F41" s="8">
        <v>10.199999999999999</v>
      </c>
    </row>
    <row r="42" spans="1:6" x14ac:dyDescent="0.15">
      <c r="A42" s="7" t="s">
        <v>298</v>
      </c>
      <c r="B42" s="16">
        <v>-413.6</v>
      </c>
      <c r="C42" s="16">
        <v>-509.9</v>
      </c>
      <c r="D42" s="16">
        <v>-625.1</v>
      </c>
      <c r="E42" s="16">
        <v>-841.7</v>
      </c>
      <c r="F42" s="16">
        <v>-648</v>
      </c>
    </row>
    <row r="43" spans="1:6" x14ac:dyDescent="0.15">
      <c r="A43" s="5"/>
      <c r="B43" s="5"/>
      <c r="C43" s="5"/>
      <c r="D43" s="5"/>
      <c r="E43" s="5"/>
      <c r="F43" s="5"/>
    </row>
    <row r="44" spans="1:6" ht="12" x14ac:dyDescent="0.15">
      <c r="A44" s="5" t="s">
        <v>297</v>
      </c>
      <c r="B44" s="8" t="s">
        <v>4</v>
      </c>
      <c r="C44" s="8" t="s">
        <v>4</v>
      </c>
      <c r="D44" s="8" t="s">
        <v>4</v>
      </c>
      <c r="E44" s="8" t="s">
        <v>4</v>
      </c>
      <c r="F44" s="8" t="s">
        <v>4</v>
      </c>
    </row>
    <row r="45" spans="1:6" x14ac:dyDescent="0.15">
      <c r="A45" s="5" t="s">
        <v>296</v>
      </c>
      <c r="B45" s="8">
        <v>1.5</v>
      </c>
      <c r="C45" s="8">
        <v>1.4</v>
      </c>
      <c r="D45" s="8">
        <v>7</v>
      </c>
      <c r="E45" s="8">
        <v>7</v>
      </c>
      <c r="F45" s="8">
        <v>863.7</v>
      </c>
    </row>
    <row r="46" spans="1:6" x14ac:dyDescent="0.15">
      <c r="A46" s="7" t="s">
        <v>295</v>
      </c>
      <c r="B46" s="16">
        <v>1.5</v>
      </c>
      <c r="C46" s="16">
        <v>1.4</v>
      </c>
      <c r="D46" s="16">
        <v>7</v>
      </c>
      <c r="E46" s="16">
        <v>7</v>
      </c>
      <c r="F46" s="16">
        <v>863.7</v>
      </c>
    </row>
    <row r="47" spans="1:6" ht="12" x14ac:dyDescent="0.15">
      <c r="A47" s="5" t="s">
        <v>294</v>
      </c>
      <c r="B47" s="8" t="s">
        <v>4</v>
      </c>
      <c r="C47" s="8" t="s">
        <v>4</v>
      </c>
      <c r="D47" s="8" t="s">
        <v>4</v>
      </c>
      <c r="E47" s="8" t="s">
        <v>4</v>
      </c>
      <c r="F47" s="8" t="s">
        <v>4</v>
      </c>
    </row>
    <row r="48" spans="1:6" x14ac:dyDescent="0.15">
      <c r="A48" s="5" t="s">
        <v>293</v>
      </c>
      <c r="B48" s="8">
        <v>-918.9</v>
      </c>
      <c r="C48" s="8">
        <v>-1006.6</v>
      </c>
      <c r="D48" s="8">
        <v>-512.79999999999995</v>
      </c>
      <c r="E48" s="8">
        <v>-404.8</v>
      </c>
      <c r="F48" s="8">
        <v>-883.8</v>
      </c>
    </row>
    <row r="49" spans="1:6" x14ac:dyDescent="0.15">
      <c r="A49" s="7" t="s">
        <v>292</v>
      </c>
      <c r="B49" s="16">
        <v>-918.9</v>
      </c>
      <c r="C49" s="16">
        <v>-1006.6</v>
      </c>
      <c r="D49" s="16">
        <v>-512.79999999999995</v>
      </c>
      <c r="E49" s="16">
        <v>-404.8</v>
      </c>
      <c r="F49" s="16">
        <v>-883.8</v>
      </c>
    </row>
    <row r="50" spans="1:6" x14ac:dyDescent="0.15">
      <c r="A50" s="5"/>
      <c r="B50" s="5"/>
      <c r="C50" s="5"/>
      <c r="D50" s="5"/>
      <c r="E50" s="5"/>
      <c r="F50" s="5"/>
    </row>
    <row r="51" spans="1:6" ht="12" x14ac:dyDescent="0.15">
      <c r="A51" s="5" t="s">
        <v>291</v>
      </c>
      <c r="B51" s="8">
        <v>4.0999999999999996</v>
      </c>
      <c r="C51" s="8">
        <v>4.5999999999999996</v>
      </c>
      <c r="D51" s="8" t="s">
        <v>4</v>
      </c>
      <c r="E51" s="8" t="s">
        <v>4</v>
      </c>
      <c r="F51" s="8" t="s">
        <v>4</v>
      </c>
    </row>
    <row r="52" spans="1:6" ht="12" x14ac:dyDescent="0.15">
      <c r="A52" s="5" t="s">
        <v>290</v>
      </c>
      <c r="B52" s="8" t="s">
        <v>4</v>
      </c>
      <c r="C52" s="8" t="s">
        <v>4</v>
      </c>
      <c r="D52" s="8">
        <v>-51.5</v>
      </c>
      <c r="E52" s="8">
        <v>-205.8</v>
      </c>
      <c r="F52" s="8">
        <v>-643.4</v>
      </c>
    </row>
    <row r="53" spans="1:6" x14ac:dyDescent="0.15">
      <c r="A53" s="5"/>
      <c r="B53" s="5"/>
      <c r="C53" s="5"/>
      <c r="D53" s="5"/>
      <c r="E53" s="5"/>
      <c r="F53" s="5"/>
    </row>
    <row r="54" spans="1:6" x14ac:dyDescent="0.15">
      <c r="A54" s="5" t="s">
        <v>289</v>
      </c>
      <c r="B54" s="8">
        <v>-125.3</v>
      </c>
      <c r="C54" s="8">
        <v>-147.80000000000001</v>
      </c>
      <c r="D54" s="8">
        <v>-329.3</v>
      </c>
      <c r="E54" s="8">
        <v>-354.7</v>
      </c>
      <c r="F54" s="8">
        <v>-369.2</v>
      </c>
    </row>
    <row r="55" spans="1:6" x14ac:dyDescent="0.15">
      <c r="A55" s="7" t="s">
        <v>288</v>
      </c>
      <c r="B55" s="16">
        <v>-125.3</v>
      </c>
      <c r="C55" s="16">
        <v>-147.80000000000001</v>
      </c>
      <c r="D55" s="16">
        <v>-329.3</v>
      </c>
      <c r="E55" s="16">
        <v>-354.7</v>
      </c>
      <c r="F55" s="16">
        <v>-369.2</v>
      </c>
    </row>
    <row r="56" spans="1:6" x14ac:dyDescent="0.15">
      <c r="A56" s="5"/>
      <c r="B56" s="5"/>
      <c r="C56" s="5"/>
      <c r="D56" s="5"/>
      <c r="E56" s="5"/>
      <c r="F56" s="5"/>
    </row>
    <row r="57" spans="1:6" ht="12" x14ac:dyDescent="0.15">
      <c r="A57" s="5" t="s">
        <v>287</v>
      </c>
      <c r="B57" s="8" t="s">
        <v>4</v>
      </c>
      <c r="C57" s="8" t="s">
        <v>4</v>
      </c>
      <c r="D57" s="8" t="s">
        <v>4</v>
      </c>
      <c r="E57" s="8" t="s">
        <v>4</v>
      </c>
      <c r="F57" s="8" t="s">
        <v>4</v>
      </c>
    </row>
    <row r="58" spans="1:6" x14ac:dyDescent="0.15">
      <c r="A58" s="5" t="s">
        <v>286</v>
      </c>
      <c r="B58" s="8">
        <v>-31.8</v>
      </c>
      <c r="C58" s="8">
        <v>-23.8</v>
      </c>
      <c r="D58" s="8">
        <v>-2.9</v>
      </c>
      <c r="E58" s="8">
        <v>-23.1</v>
      </c>
      <c r="F58" s="8">
        <v>-105.7</v>
      </c>
    </row>
    <row r="59" spans="1:6" x14ac:dyDescent="0.15">
      <c r="A59" s="7" t="s">
        <v>285</v>
      </c>
      <c r="B59" s="16">
        <v>-1070.4000000000001</v>
      </c>
      <c r="C59" s="16">
        <v>-1172.2</v>
      </c>
      <c r="D59" s="16">
        <v>-889.5</v>
      </c>
      <c r="E59" s="16">
        <v>-981.4</v>
      </c>
      <c r="F59" s="16">
        <v>-1138.4000000000001</v>
      </c>
    </row>
    <row r="60" spans="1:6" x14ac:dyDescent="0.15">
      <c r="A60" s="5"/>
      <c r="B60" s="5"/>
      <c r="C60" s="5"/>
      <c r="D60" s="5"/>
      <c r="E60" s="5"/>
      <c r="F60" s="5"/>
    </row>
    <row r="61" spans="1:6" x14ac:dyDescent="0.15">
      <c r="A61" s="5" t="s">
        <v>284</v>
      </c>
      <c r="B61" s="8">
        <v>35</v>
      </c>
      <c r="C61" s="8">
        <v>-24.1</v>
      </c>
      <c r="D61" s="8">
        <v>-24.8</v>
      </c>
      <c r="E61" s="8">
        <v>13</v>
      </c>
      <c r="F61" s="8">
        <v>-23.5</v>
      </c>
    </row>
    <row r="62" spans="1:6" x14ac:dyDescent="0.15">
      <c r="A62" s="7" t="s">
        <v>283</v>
      </c>
      <c r="B62" s="15">
        <v>246.7</v>
      </c>
      <c r="C62" s="15">
        <v>-132.69999999999999</v>
      </c>
      <c r="D62" s="15">
        <v>-37.4</v>
      </c>
      <c r="E62" s="15">
        <v>268.89999999999998</v>
      </c>
      <c r="F62" s="15">
        <v>100.4</v>
      </c>
    </row>
    <row r="63" spans="1:6" x14ac:dyDescent="0.15">
      <c r="A63" s="5"/>
      <c r="B63" s="5"/>
      <c r="C63" s="5"/>
      <c r="D63" s="5"/>
      <c r="E63" s="5"/>
      <c r="F63" s="5"/>
    </row>
    <row r="64" spans="1:6" x14ac:dyDescent="0.15">
      <c r="A64" s="7" t="s">
        <v>37</v>
      </c>
      <c r="B64" s="5"/>
      <c r="C64" s="5"/>
      <c r="D64" s="5"/>
      <c r="E64" s="5"/>
      <c r="F64" s="5"/>
    </row>
    <row r="65" spans="1:6" x14ac:dyDescent="0.15">
      <c r="A65" s="5" t="s">
        <v>282</v>
      </c>
      <c r="B65" s="8">
        <v>271.89999999999998</v>
      </c>
      <c r="C65" s="8">
        <v>256.2</v>
      </c>
      <c r="D65" s="8">
        <v>240</v>
      </c>
      <c r="E65" s="8">
        <v>229</v>
      </c>
      <c r="F65" s="8">
        <v>216</v>
      </c>
    </row>
    <row r="66" spans="1:6" x14ac:dyDescent="0.15">
      <c r="A66" s="5" t="s">
        <v>281</v>
      </c>
      <c r="B66" s="8">
        <v>127</v>
      </c>
      <c r="C66" s="8">
        <v>227</v>
      </c>
      <c r="D66" s="8">
        <v>76.599999999999994</v>
      </c>
      <c r="E66" s="8">
        <v>244.8</v>
      </c>
      <c r="F66" s="8">
        <v>227.1</v>
      </c>
    </row>
    <row r="67" spans="1:6" x14ac:dyDescent="0.15">
      <c r="A67" s="5" t="s">
        <v>280</v>
      </c>
      <c r="B67" s="8">
        <v>1050.125</v>
      </c>
      <c r="C67" s="8">
        <v>796.92499999999995</v>
      </c>
      <c r="D67" s="8">
        <v>656.4</v>
      </c>
      <c r="E67" s="8">
        <v>1173.7874999999999</v>
      </c>
      <c r="F67" s="8">
        <v>928.125</v>
      </c>
    </row>
    <row r="68" spans="1:6" x14ac:dyDescent="0.15">
      <c r="A68" s="5" t="s">
        <v>279</v>
      </c>
      <c r="B68" s="8">
        <v>1213.6500000000001</v>
      </c>
      <c r="C68" s="8">
        <v>952.91250000000002</v>
      </c>
      <c r="D68" s="8">
        <v>805.32500000000005</v>
      </c>
      <c r="E68" s="8">
        <v>1314.3375000000001</v>
      </c>
      <c r="F68" s="8">
        <v>1099.5125</v>
      </c>
    </row>
    <row r="69" spans="1:6" x14ac:dyDescent="0.15">
      <c r="A69" s="5" t="s">
        <v>263</v>
      </c>
      <c r="B69" s="8">
        <v>-86.3</v>
      </c>
      <c r="C69" s="8">
        <v>293.10000000000002</v>
      </c>
      <c r="D69" s="8">
        <v>-42.7</v>
      </c>
      <c r="E69" s="8">
        <v>-258.7</v>
      </c>
      <c r="F69" s="8">
        <v>67.099999999999994</v>
      </c>
    </row>
    <row r="70" spans="1:6" x14ac:dyDescent="0.15">
      <c r="A70" s="5" t="s">
        <v>278</v>
      </c>
      <c r="B70" s="8">
        <v>-917.4</v>
      </c>
      <c r="C70" s="8">
        <v>-1005.2</v>
      </c>
      <c r="D70" s="8">
        <v>-505.8</v>
      </c>
      <c r="E70" s="8">
        <v>-397.8</v>
      </c>
      <c r="F70" s="8">
        <v>-20.100000000000001</v>
      </c>
    </row>
    <row r="71" spans="1:6" x14ac:dyDescent="0.15">
      <c r="A71" s="5" t="s">
        <v>20</v>
      </c>
      <c r="B71" s="10">
        <v>44978</v>
      </c>
      <c r="C71" s="10">
        <v>45342</v>
      </c>
      <c r="D71" s="10">
        <v>45706</v>
      </c>
      <c r="E71" s="10">
        <v>45706</v>
      </c>
      <c r="F71" s="10">
        <v>45706</v>
      </c>
    </row>
    <row r="72" spans="1:6" ht="12" x14ac:dyDescent="0.15">
      <c r="A72" s="5" t="s">
        <v>19</v>
      </c>
      <c r="B72" s="9" t="s">
        <v>17</v>
      </c>
      <c r="C72" s="9" t="s">
        <v>17</v>
      </c>
      <c r="D72" s="9" t="s">
        <v>17</v>
      </c>
      <c r="E72" s="9" t="s">
        <v>17</v>
      </c>
      <c r="F72" s="9" t="s">
        <v>16</v>
      </c>
    </row>
    <row r="73" spans="1:6" ht="12" x14ac:dyDescent="0.15">
      <c r="A73" s="5" t="s">
        <v>15</v>
      </c>
      <c r="B73" s="9" t="s">
        <v>14</v>
      </c>
      <c r="C73" s="9" t="s">
        <v>14</v>
      </c>
      <c r="D73" s="9" t="s">
        <v>14</v>
      </c>
      <c r="E73" s="9" t="s">
        <v>14</v>
      </c>
      <c r="F73" s="9" t="s">
        <v>14</v>
      </c>
    </row>
    <row r="74" spans="1:6" x14ac:dyDescent="0.15">
      <c r="A74" s="5"/>
      <c r="B74" s="5"/>
      <c r="C74" s="5"/>
      <c r="D74" s="5"/>
      <c r="E74" s="5"/>
      <c r="F74" s="5"/>
    </row>
    <row r="75" spans="1:6" ht="72" x14ac:dyDescent="0.15">
      <c r="A75" s="31" t="s">
        <v>0</v>
      </c>
      <c r="B75" s="3"/>
      <c r="C75" s="3"/>
      <c r="D75" s="3"/>
      <c r="E75" s="3"/>
      <c r="F75" s="3"/>
    </row>
  </sheetData>
  <pageMargins left="0.2" right="0.2" top="0.5" bottom="0.5" header="0.5" footer="0.5"/>
  <pageSetup fitToWidth="0" fitToHeight="0" orientation="landscape" horizontalDpi="0" verticalDpi="0"/>
  <headerFooter alignWithMargins="0"/>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A5452F-0BDF-6948-821C-71BD5BF827AC}">
  <sheetPr>
    <outlinePr summaryBelow="0" summaryRight="0"/>
    <pageSetUpPr autoPageBreaks="0"/>
  </sheetPr>
  <dimension ref="A1:IU43"/>
  <sheetViews>
    <sheetView topLeftCell="A9" zoomScale="132" workbookViewId="0">
      <selection activeCell="H13" sqref="H13"/>
    </sheetView>
  </sheetViews>
  <sheetFormatPr baseColWidth="10" defaultRowHeight="11" x14ac:dyDescent="0.15"/>
  <cols>
    <col min="1" max="1" width="45.83203125" style="1" customWidth="1"/>
    <col min="2" max="6" width="14.83203125" style="1" customWidth="1"/>
    <col min="7" max="256" width="8.83203125" style="1" customWidth="1"/>
    <col min="257" max="16384" width="10.83203125" style="1"/>
  </cols>
  <sheetData>
    <row r="1" spans="1:255" ht="17" x14ac:dyDescent="0.2">
      <c r="A1" s="23" t="s">
        <v>112</v>
      </c>
    </row>
    <row r="3" spans="1:255" x14ac:dyDescent="0.15">
      <c r="A3" s="5"/>
      <c r="B3" s="20" t="s">
        <v>110</v>
      </c>
      <c r="C3" s="1" t="s">
        <v>369</v>
      </c>
      <c r="D3" s="5" t="s">
        <v>92</v>
      </c>
      <c r="E3" s="20" t="s">
        <v>108</v>
      </c>
      <c r="F3" s="1" t="s">
        <v>107</v>
      </c>
    </row>
    <row r="4" spans="1:255" x14ac:dyDescent="0.15">
      <c r="A4" s="5"/>
      <c r="B4" s="20" t="s">
        <v>106</v>
      </c>
      <c r="C4" s="1" t="s">
        <v>105</v>
      </c>
      <c r="D4" s="5" t="s">
        <v>92</v>
      </c>
      <c r="E4" s="20" t="s">
        <v>104</v>
      </c>
      <c r="F4" s="1" t="s">
        <v>103</v>
      </c>
    </row>
    <row r="5" spans="1:255" x14ac:dyDescent="0.15">
      <c r="A5" s="5"/>
      <c r="B5" s="20" t="s">
        <v>102</v>
      </c>
      <c r="C5" s="1" t="s">
        <v>101</v>
      </c>
      <c r="D5" s="5" t="s">
        <v>92</v>
      </c>
      <c r="E5" s="20" t="s">
        <v>100</v>
      </c>
      <c r="F5" s="1" t="s">
        <v>99</v>
      </c>
    </row>
    <row r="6" spans="1:255" x14ac:dyDescent="0.15">
      <c r="A6" s="5"/>
      <c r="B6" s="20" t="s">
        <v>98</v>
      </c>
      <c r="C6" s="1" t="s">
        <v>97</v>
      </c>
      <c r="D6" s="5" t="s">
        <v>92</v>
      </c>
      <c r="E6" s="20" t="s">
        <v>96</v>
      </c>
      <c r="F6" s="21" t="s">
        <v>95</v>
      </c>
    </row>
    <row r="7" spans="1:255" x14ac:dyDescent="0.15">
      <c r="A7" s="5"/>
      <c r="B7" s="20" t="s">
        <v>94</v>
      </c>
      <c r="C7" s="1" t="s">
        <v>93</v>
      </c>
      <c r="D7" s="5" t="s">
        <v>92</v>
      </c>
      <c r="E7" s="19"/>
      <c r="F7" s="19"/>
    </row>
    <row r="10" spans="1:255" x14ac:dyDescent="0.15">
      <c r="A10" s="18" t="s">
        <v>91</v>
      </c>
      <c r="B10" s="18"/>
      <c r="C10" s="18"/>
      <c r="D10" s="18"/>
      <c r="E10" s="18"/>
      <c r="F10" s="18"/>
      <c r="G10" s="17"/>
      <c r="H10" s="17"/>
      <c r="I10" s="17"/>
      <c r="J10" s="17"/>
      <c r="K10" s="17"/>
      <c r="L10" s="17"/>
      <c r="M10" s="17"/>
      <c r="N10" s="17"/>
      <c r="O10" s="17"/>
      <c r="P10" s="17"/>
      <c r="Q10" s="17"/>
      <c r="R10" s="17"/>
      <c r="S10" s="17"/>
      <c r="T10" s="17"/>
      <c r="U10" s="17"/>
      <c r="V10" s="17"/>
      <c r="W10" s="17"/>
      <c r="X10" s="17"/>
      <c r="Y10" s="17"/>
      <c r="Z10" s="17"/>
      <c r="AA10" s="17"/>
      <c r="AB10" s="17"/>
      <c r="AC10" s="17"/>
      <c r="AD10" s="17"/>
      <c r="AE10" s="17"/>
      <c r="AF10" s="17"/>
      <c r="AG10" s="17"/>
      <c r="AH10" s="17"/>
      <c r="AI10" s="17"/>
      <c r="AJ10" s="17"/>
      <c r="AK10" s="17"/>
      <c r="AL10" s="17"/>
      <c r="AM10" s="17"/>
      <c r="AN10" s="17"/>
      <c r="AO10" s="17"/>
      <c r="AP10" s="17"/>
      <c r="AQ10" s="17"/>
      <c r="AR10" s="17"/>
      <c r="AS10" s="17"/>
      <c r="AT10" s="17"/>
      <c r="AU10" s="17"/>
      <c r="AV10" s="17"/>
      <c r="AW10" s="17"/>
      <c r="AX10" s="17"/>
      <c r="AY10" s="17"/>
      <c r="AZ10" s="17"/>
      <c r="BA10" s="17"/>
      <c r="BB10" s="17"/>
      <c r="BC10" s="17"/>
      <c r="BD10" s="17"/>
      <c r="BE10" s="17"/>
      <c r="BF10" s="17"/>
      <c r="BG10" s="17"/>
      <c r="BH10" s="17"/>
      <c r="BI10" s="17"/>
      <c r="BJ10" s="17"/>
      <c r="BK10" s="17"/>
      <c r="BL10" s="17"/>
      <c r="BM10" s="17"/>
      <c r="BN10" s="17"/>
      <c r="BO10" s="17"/>
      <c r="BP10" s="17"/>
      <c r="BQ10" s="17"/>
      <c r="BR10" s="17"/>
      <c r="BS10" s="17"/>
      <c r="BT10" s="17"/>
      <c r="BU10" s="17"/>
      <c r="BV10" s="17"/>
      <c r="BW10" s="17"/>
      <c r="BX10" s="17"/>
      <c r="BY10" s="17"/>
      <c r="BZ10" s="17"/>
      <c r="CA10" s="17"/>
      <c r="CB10" s="17"/>
      <c r="CC10" s="17"/>
      <c r="CD10" s="17"/>
      <c r="CE10" s="17"/>
      <c r="CF10" s="17"/>
      <c r="CG10" s="17"/>
      <c r="CH10" s="17"/>
      <c r="CI10" s="17"/>
      <c r="CJ10" s="17"/>
      <c r="CK10" s="17"/>
      <c r="CL10" s="17"/>
      <c r="CM10" s="17"/>
      <c r="CN10" s="17"/>
      <c r="CO10" s="17"/>
      <c r="CP10" s="17"/>
      <c r="CQ10" s="17"/>
      <c r="CR10" s="17"/>
      <c r="CS10" s="17"/>
      <c r="CT10" s="17"/>
      <c r="CU10" s="17"/>
      <c r="CV10" s="17"/>
      <c r="CW10" s="17"/>
      <c r="CX10" s="17"/>
      <c r="CY10" s="17"/>
      <c r="CZ10" s="17"/>
      <c r="DA10" s="17"/>
      <c r="DB10" s="17"/>
      <c r="DC10" s="17"/>
      <c r="DD10" s="17"/>
      <c r="DE10" s="17"/>
      <c r="DF10" s="17"/>
      <c r="DG10" s="17"/>
      <c r="DH10" s="17"/>
      <c r="DI10" s="17"/>
      <c r="DJ10" s="17"/>
      <c r="DK10" s="17"/>
      <c r="DL10" s="17"/>
      <c r="DM10" s="17"/>
      <c r="DN10" s="17"/>
      <c r="DO10" s="17"/>
      <c r="DP10" s="17"/>
      <c r="DQ10" s="17"/>
      <c r="DR10" s="17"/>
      <c r="DS10" s="17"/>
      <c r="DT10" s="17"/>
      <c r="DU10" s="17"/>
      <c r="DV10" s="17"/>
      <c r="DW10" s="17"/>
      <c r="DX10" s="17"/>
      <c r="DY10" s="17"/>
      <c r="DZ10" s="17"/>
      <c r="EA10" s="17"/>
      <c r="EB10" s="17"/>
      <c r="EC10" s="17"/>
      <c r="ED10" s="17"/>
      <c r="EE10" s="17"/>
      <c r="EF10" s="17"/>
      <c r="EG10" s="17"/>
      <c r="EH10" s="17"/>
      <c r="EI10" s="17"/>
      <c r="EJ10" s="17"/>
      <c r="EK10" s="17"/>
      <c r="EL10" s="17"/>
      <c r="EM10" s="17"/>
      <c r="EN10" s="17"/>
      <c r="EO10" s="17"/>
      <c r="EP10" s="17"/>
      <c r="EQ10" s="17"/>
      <c r="ER10" s="17"/>
      <c r="ES10" s="17"/>
      <c r="ET10" s="17"/>
      <c r="EU10" s="17"/>
      <c r="EV10" s="17"/>
      <c r="EW10" s="17"/>
      <c r="EX10" s="17"/>
      <c r="EY10" s="17"/>
      <c r="EZ10" s="17"/>
      <c r="FA10" s="17"/>
      <c r="FB10" s="17"/>
      <c r="FC10" s="17"/>
      <c r="FD10" s="17"/>
      <c r="FE10" s="17"/>
      <c r="FF10" s="17"/>
      <c r="FG10" s="17"/>
      <c r="FH10" s="17"/>
      <c r="FI10" s="17"/>
      <c r="FJ10" s="17"/>
      <c r="FK10" s="17"/>
      <c r="FL10" s="17"/>
      <c r="FM10" s="17"/>
      <c r="FN10" s="17"/>
      <c r="FO10" s="17"/>
      <c r="FP10" s="17"/>
      <c r="FQ10" s="17"/>
      <c r="FR10" s="17"/>
      <c r="FS10" s="17"/>
      <c r="FT10" s="17"/>
      <c r="FU10" s="17"/>
      <c r="FV10" s="17"/>
      <c r="FW10" s="17"/>
      <c r="FX10" s="17"/>
      <c r="FY10" s="17"/>
      <c r="FZ10" s="17"/>
      <c r="GA10" s="17"/>
      <c r="GB10" s="17"/>
      <c r="GC10" s="17"/>
      <c r="GD10" s="17"/>
      <c r="GE10" s="17"/>
      <c r="GF10" s="17"/>
      <c r="GG10" s="17"/>
      <c r="GH10" s="17"/>
      <c r="GI10" s="17"/>
      <c r="GJ10" s="17"/>
      <c r="GK10" s="17"/>
      <c r="GL10" s="17"/>
      <c r="GM10" s="17"/>
      <c r="GN10" s="17"/>
      <c r="GO10" s="17"/>
      <c r="GP10" s="17"/>
      <c r="GQ10" s="17"/>
      <c r="GR10" s="17"/>
      <c r="GS10" s="17"/>
      <c r="GT10" s="17"/>
      <c r="GU10" s="17"/>
      <c r="GV10" s="17"/>
      <c r="GW10" s="17"/>
      <c r="GX10" s="17"/>
      <c r="GY10" s="17"/>
      <c r="GZ10" s="17"/>
      <c r="HA10" s="17"/>
      <c r="HB10" s="17"/>
      <c r="HC10" s="17"/>
      <c r="HD10" s="17"/>
      <c r="HE10" s="17"/>
      <c r="HF10" s="17"/>
      <c r="HG10" s="17"/>
      <c r="HH10" s="17"/>
      <c r="HI10" s="17"/>
      <c r="HJ10" s="17"/>
      <c r="HK10" s="17"/>
      <c r="HL10" s="17"/>
      <c r="HM10" s="17"/>
      <c r="HN10" s="17"/>
      <c r="HO10" s="17"/>
      <c r="HP10" s="17"/>
      <c r="HQ10" s="17"/>
      <c r="HR10" s="17"/>
      <c r="HS10" s="17"/>
      <c r="HT10" s="17"/>
      <c r="HU10" s="17"/>
      <c r="HV10" s="17"/>
      <c r="HW10" s="17"/>
      <c r="HX10" s="17"/>
      <c r="HY10" s="17"/>
      <c r="HZ10" s="17"/>
      <c r="IA10" s="17"/>
      <c r="IB10" s="17"/>
      <c r="IC10" s="17"/>
      <c r="ID10" s="17"/>
      <c r="IE10" s="17"/>
      <c r="IF10" s="17"/>
      <c r="IG10" s="17"/>
      <c r="IH10" s="17"/>
      <c r="II10" s="17"/>
      <c r="IJ10" s="17"/>
      <c r="IK10" s="17"/>
      <c r="IL10" s="17"/>
      <c r="IM10" s="17"/>
      <c r="IN10" s="17"/>
      <c r="IO10" s="17"/>
      <c r="IP10" s="17"/>
      <c r="IQ10" s="17"/>
      <c r="IR10" s="17"/>
      <c r="IS10" s="17"/>
      <c r="IT10" s="17"/>
      <c r="IU10" s="17"/>
    </row>
    <row r="11" spans="1:255" ht="24" x14ac:dyDescent="0.15">
      <c r="A11" s="27" t="s">
        <v>90</v>
      </c>
      <c r="B11" s="28">
        <v>2020</v>
      </c>
      <c r="C11" s="28">
        <f>B11+1</f>
        <v>2021</v>
      </c>
      <c r="D11" s="28">
        <f t="shared" ref="D11:F11" si="0">C11+1</f>
        <v>2022</v>
      </c>
      <c r="E11" s="28">
        <f t="shared" si="0"/>
        <v>2023</v>
      </c>
      <c r="F11" s="28">
        <f t="shared" si="0"/>
        <v>2024</v>
      </c>
    </row>
    <row r="12" spans="1:255" ht="12" x14ac:dyDescent="0.15">
      <c r="A12" s="29" t="s">
        <v>89</v>
      </c>
      <c r="B12" s="30" t="s">
        <v>88</v>
      </c>
      <c r="C12" s="30" t="s">
        <v>88</v>
      </c>
      <c r="D12" s="30" t="s">
        <v>88</v>
      </c>
      <c r="E12" s="30" t="s">
        <v>88</v>
      </c>
      <c r="F12" s="30" t="s">
        <v>88</v>
      </c>
    </row>
    <row r="13" spans="1:255" x14ac:dyDescent="0.15">
      <c r="A13" s="18" t="s">
        <v>368</v>
      </c>
      <c r="B13" s="18" t="s">
        <v>367</v>
      </c>
      <c r="C13" s="18" t="s">
        <v>367</v>
      </c>
      <c r="D13" s="18" t="s">
        <v>367</v>
      </c>
      <c r="E13" s="18" t="s">
        <v>367</v>
      </c>
      <c r="F13" s="18" t="s">
        <v>367</v>
      </c>
    </row>
    <row r="14" spans="1:255" x14ac:dyDescent="0.15">
      <c r="A14" s="7" t="s">
        <v>366</v>
      </c>
      <c r="B14" s="5"/>
      <c r="C14" s="5"/>
      <c r="D14" s="5"/>
      <c r="E14" s="5"/>
      <c r="F14" s="5"/>
    </row>
    <row r="15" spans="1:255" x14ac:dyDescent="0.15">
      <c r="A15" s="5" t="s">
        <v>365</v>
      </c>
      <c r="B15" s="8">
        <v>11723.8</v>
      </c>
      <c r="C15" s="8">
        <v>12449.9</v>
      </c>
      <c r="D15" s="8">
        <v>12807.5</v>
      </c>
      <c r="E15" s="8">
        <v>13884.6</v>
      </c>
      <c r="F15" s="8">
        <v>13734.3</v>
      </c>
    </row>
    <row r="16" spans="1:255" x14ac:dyDescent="0.15">
      <c r="A16" s="5" t="s">
        <v>364</v>
      </c>
      <c r="B16" s="8">
        <v>-2069.8000000000002</v>
      </c>
      <c r="C16" s="8">
        <v>-2170.1999999999998</v>
      </c>
      <c r="D16" s="8">
        <v>-2106.5</v>
      </c>
      <c r="E16" s="8">
        <v>-2182.5</v>
      </c>
      <c r="F16" s="8">
        <v>-2107.3000000000002</v>
      </c>
    </row>
    <row r="17" spans="1:6" x14ac:dyDescent="0.15">
      <c r="A17" s="7" t="s">
        <v>363</v>
      </c>
      <c r="B17" s="6">
        <v>9654</v>
      </c>
      <c r="C17" s="6">
        <v>10279.700000000001</v>
      </c>
      <c r="D17" s="6">
        <v>10701</v>
      </c>
      <c r="E17" s="6">
        <v>11702.1</v>
      </c>
      <c r="F17" s="6">
        <v>11627</v>
      </c>
    </row>
    <row r="18" spans="1:6" x14ac:dyDescent="0.15">
      <c r="A18" s="5"/>
      <c r="B18" s="5"/>
      <c r="C18" s="5"/>
      <c r="D18" s="5"/>
      <c r="E18" s="5"/>
      <c r="F18" s="5"/>
    </row>
    <row r="19" spans="1:6" x14ac:dyDescent="0.15">
      <c r="A19" s="7" t="s">
        <v>362</v>
      </c>
      <c r="B19" s="5"/>
      <c r="C19" s="5"/>
      <c r="D19" s="5"/>
      <c r="E19" s="5"/>
      <c r="F19" s="5"/>
    </row>
    <row r="20" spans="1:6" x14ac:dyDescent="0.15">
      <c r="A20" s="5" t="s">
        <v>361</v>
      </c>
      <c r="B20" s="8">
        <v>-5885.7</v>
      </c>
      <c r="C20" s="8">
        <v>-6226.3</v>
      </c>
      <c r="D20" s="8">
        <v>-7045.8</v>
      </c>
      <c r="E20" s="8">
        <v>-7333.3</v>
      </c>
      <c r="F20" s="8">
        <v>-7093.6</v>
      </c>
    </row>
    <row r="21" spans="1:6" x14ac:dyDescent="0.15">
      <c r="A21" s="5" t="s">
        <v>360</v>
      </c>
      <c r="B21" s="8">
        <v>30.3</v>
      </c>
      <c r="C21" s="8">
        <v>46.4</v>
      </c>
      <c r="D21" s="8">
        <v>36.6</v>
      </c>
      <c r="E21" s="8">
        <v>10.199999999999999</v>
      </c>
      <c r="F21" s="8">
        <v>-5</v>
      </c>
    </row>
    <row r="22" spans="1:6" x14ac:dyDescent="0.15">
      <c r="A22" s="5" t="s">
        <v>359</v>
      </c>
      <c r="B22" s="8">
        <v>-2437</v>
      </c>
      <c r="C22" s="8">
        <v>-2554.5</v>
      </c>
      <c r="D22" s="8">
        <v>-2618.8000000000002</v>
      </c>
      <c r="E22" s="8">
        <v>-2779.9</v>
      </c>
      <c r="F22" s="8">
        <v>-2717.5</v>
      </c>
    </row>
    <row r="23" spans="1:6" x14ac:dyDescent="0.15">
      <c r="A23" s="5" t="s">
        <v>358</v>
      </c>
      <c r="B23" s="8">
        <v>-255.9</v>
      </c>
      <c r="C23" s="8">
        <v>-44.5</v>
      </c>
      <c r="D23" s="8">
        <v>-38.6</v>
      </c>
      <c r="E23" s="8">
        <v>-162.69999999999999</v>
      </c>
      <c r="F23" s="8">
        <v>-65.400000000000006</v>
      </c>
    </row>
    <row r="24" spans="1:6" ht="12" x14ac:dyDescent="0.15">
      <c r="A24" s="5" t="s">
        <v>357</v>
      </c>
      <c r="B24" s="8">
        <v>-1484.3</v>
      </c>
      <c r="C24" s="8" t="s">
        <v>4</v>
      </c>
      <c r="D24" s="8">
        <v>-845</v>
      </c>
      <c r="E24" s="8" t="s">
        <v>4</v>
      </c>
      <c r="F24" s="8" t="s">
        <v>4</v>
      </c>
    </row>
    <row r="25" spans="1:6" x14ac:dyDescent="0.15">
      <c r="A25" s="5" t="s">
        <v>356</v>
      </c>
      <c r="B25" s="8">
        <v>-274.60000000000002</v>
      </c>
      <c r="C25" s="8">
        <v>-260.3</v>
      </c>
      <c r="D25" s="8">
        <v>-250.6</v>
      </c>
      <c r="E25" s="8">
        <v>-234</v>
      </c>
      <c r="F25" s="8">
        <v>-282.7</v>
      </c>
    </row>
    <row r="26" spans="1:6" x14ac:dyDescent="0.15">
      <c r="A26" s="5" t="s">
        <v>355</v>
      </c>
      <c r="B26" s="8">
        <v>3.3</v>
      </c>
      <c r="C26" s="8">
        <v>2</v>
      </c>
      <c r="D26" s="8">
        <v>4.3</v>
      </c>
      <c r="E26" s="8">
        <v>25.4</v>
      </c>
      <c r="F26" s="8">
        <v>35.4</v>
      </c>
    </row>
    <row r="27" spans="1:6" ht="12" x14ac:dyDescent="0.15">
      <c r="A27" s="5" t="s">
        <v>354</v>
      </c>
      <c r="B27" s="8" t="s">
        <v>4</v>
      </c>
      <c r="C27" s="8" t="s">
        <v>4</v>
      </c>
      <c r="D27" s="8">
        <v>4.7</v>
      </c>
      <c r="E27" s="8">
        <v>12</v>
      </c>
      <c r="F27" s="8">
        <v>2.7</v>
      </c>
    </row>
    <row r="28" spans="1:6" x14ac:dyDescent="0.15">
      <c r="A28" s="5" t="s">
        <v>353</v>
      </c>
      <c r="B28" s="8">
        <v>6</v>
      </c>
      <c r="C28" s="8">
        <v>-3.5</v>
      </c>
      <c r="D28" s="8">
        <v>-10.3</v>
      </c>
      <c r="E28" s="8">
        <v>12.7</v>
      </c>
      <c r="F28" s="8">
        <v>2.1</v>
      </c>
    </row>
    <row r="29" spans="1:6" x14ac:dyDescent="0.15">
      <c r="A29" s="7" t="s">
        <v>352</v>
      </c>
      <c r="B29" s="6">
        <v>-643.9</v>
      </c>
      <c r="C29" s="6">
        <v>1239</v>
      </c>
      <c r="D29" s="6">
        <v>-62.5</v>
      </c>
      <c r="E29" s="6">
        <v>1252.5</v>
      </c>
      <c r="F29" s="6">
        <v>1503</v>
      </c>
    </row>
    <row r="30" spans="1:6" x14ac:dyDescent="0.15">
      <c r="A30" s="5"/>
      <c r="B30" s="5"/>
      <c r="C30" s="5"/>
      <c r="D30" s="5"/>
      <c r="E30" s="5"/>
      <c r="F30" s="5"/>
    </row>
    <row r="31" spans="1:6" x14ac:dyDescent="0.15">
      <c r="A31" s="7" t="s">
        <v>351</v>
      </c>
      <c r="B31" s="5"/>
      <c r="C31" s="5"/>
      <c r="D31" s="5"/>
      <c r="E31" s="5"/>
      <c r="F31" s="5"/>
    </row>
    <row r="32" spans="1:6" x14ac:dyDescent="0.15">
      <c r="A32" s="5" t="s">
        <v>350</v>
      </c>
      <c r="B32" s="8">
        <v>-301.8</v>
      </c>
      <c r="C32" s="8">
        <v>-230.5</v>
      </c>
      <c r="D32" s="8">
        <v>-124</v>
      </c>
      <c r="E32" s="8">
        <v>-296.10000000000002</v>
      </c>
      <c r="F32" s="8">
        <v>-345.3</v>
      </c>
    </row>
    <row r="33" spans="1:6" x14ac:dyDescent="0.15">
      <c r="A33" s="5" t="s">
        <v>349</v>
      </c>
      <c r="B33" s="8">
        <v>-3.3</v>
      </c>
      <c r="C33" s="8">
        <v>-2.8</v>
      </c>
      <c r="D33" s="8">
        <v>11.2</v>
      </c>
      <c r="E33" s="8">
        <v>-7.5</v>
      </c>
      <c r="F33" s="8">
        <v>-35.299999999999997</v>
      </c>
    </row>
    <row r="34" spans="1:6" x14ac:dyDescent="0.15">
      <c r="A34" s="7" t="s">
        <v>348</v>
      </c>
      <c r="B34" s="6">
        <v>-949</v>
      </c>
      <c r="C34" s="6">
        <v>1005.7</v>
      </c>
      <c r="D34" s="6">
        <v>-175.3</v>
      </c>
      <c r="E34" s="6">
        <v>948.9</v>
      </c>
      <c r="F34" s="6">
        <v>1122.4000000000001</v>
      </c>
    </row>
    <row r="35" spans="1:6" x14ac:dyDescent="0.15">
      <c r="A35" s="5"/>
      <c r="B35" s="5"/>
      <c r="C35" s="5"/>
      <c r="D35" s="5"/>
      <c r="E35" s="5"/>
      <c r="F35" s="5"/>
    </row>
    <row r="36" spans="1:6" x14ac:dyDescent="0.15">
      <c r="A36" s="7" t="s">
        <v>347</v>
      </c>
      <c r="B36" s="5"/>
      <c r="C36" s="5"/>
      <c r="D36" s="5"/>
      <c r="E36" s="5"/>
      <c r="F36" s="5"/>
    </row>
    <row r="37" spans="1:6" x14ac:dyDescent="0.15">
      <c r="A37" s="5" t="s">
        <v>346</v>
      </c>
      <c r="B37" s="14">
        <v>3768.3</v>
      </c>
      <c r="C37" s="14">
        <v>4053.4</v>
      </c>
      <c r="D37" s="14">
        <v>3655.2</v>
      </c>
      <c r="E37" s="14">
        <v>4368.8</v>
      </c>
      <c r="F37" s="14">
        <v>4533.3999999999996</v>
      </c>
    </row>
    <row r="38" spans="1:6" x14ac:dyDescent="0.15">
      <c r="A38" s="5" t="s">
        <v>345</v>
      </c>
      <c r="B38" s="14">
        <v>-408.9</v>
      </c>
      <c r="C38" s="14">
        <v>1454.4</v>
      </c>
      <c r="D38" s="14">
        <v>157.5</v>
      </c>
      <c r="E38" s="14">
        <v>1438.2</v>
      </c>
      <c r="F38" s="14">
        <v>1753.2</v>
      </c>
    </row>
    <row r="39" spans="1:6" x14ac:dyDescent="0.15">
      <c r="A39" s="5" t="s">
        <v>344</v>
      </c>
      <c r="B39" s="14">
        <v>-4.38</v>
      </c>
      <c r="C39" s="14">
        <v>4.63</v>
      </c>
      <c r="D39" s="14">
        <v>-0.81</v>
      </c>
      <c r="E39" s="14">
        <v>4.3899999999999997</v>
      </c>
      <c r="F39" s="14">
        <v>5.38</v>
      </c>
    </row>
    <row r="40" spans="1:6" x14ac:dyDescent="0.15">
      <c r="A40" s="5" t="s">
        <v>343</v>
      </c>
      <c r="B40" s="14">
        <v>-4.38</v>
      </c>
      <c r="C40" s="14">
        <v>4.62</v>
      </c>
      <c r="D40" s="14">
        <v>-0.81</v>
      </c>
      <c r="E40" s="14">
        <v>4.37</v>
      </c>
      <c r="F40" s="14">
        <v>5.35</v>
      </c>
    </row>
    <row r="41" spans="1:6" x14ac:dyDescent="0.15">
      <c r="A41" s="3"/>
      <c r="B41" s="3"/>
      <c r="C41" s="3"/>
      <c r="D41" s="3"/>
      <c r="E41" s="3"/>
      <c r="F41" s="3"/>
    </row>
    <row r="42" spans="1:6" x14ac:dyDescent="0.15">
      <c r="A42" s="1" t="s">
        <v>1</v>
      </c>
    </row>
    <row r="43" spans="1:6" x14ac:dyDescent="0.15">
      <c r="A43" s="2" t="s">
        <v>0</v>
      </c>
    </row>
  </sheetData>
  <pageMargins left="0.2" right="0.2" top="0.5" bottom="0.5" header="0.5" footer="0.5"/>
  <pageSetup fitToWidth="0" fitToHeight="0" orientation="landscape" horizontalDpi="0" verticalDpi="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B2FA9B-A044-2041-8C96-8A1F8291B0E4}">
  <sheetPr>
    <outlinePr summaryBelow="0" summaryRight="0"/>
    <pageSetUpPr autoPageBreaks="0"/>
  </sheetPr>
  <dimension ref="A1:IU55"/>
  <sheetViews>
    <sheetView zoomScale="170" workbookViewId="0">
      <selection activeCell="H13" sqref="H13"/>
    </sheetView>
  </sheetViews>
  <sheetFormatPr baseColWidth="10" defaultRowHeight="11" x14ac:dyDescent="0.15"/>
  <cols>
    <col min="1" max="1" width="45.83203125" style="1" customWidth="1"/>
    <col min="2" max="6" width="14.83203125" style="1" customWidth="1"/>
    <col min="7" max="256" width="8.83203125" style="1" customWidth="1"/>
    <col min="257" max="16384" width="10.83203125" style="1"/>
  </cols>
  <sheetData>
    <row r="1" spans="1:255" ht="17" x14ac:dyDescent="0.2">
      <c r="A1" s="23" t="s">
        <v>182</v>
      </c>
    </row>
    <row r="3" spans="1:255" x14ac:dyDescent="0.15">
      <c r="A3" s="5"/>
      <c r="B3" s="20" t="s">
        <v>110</v>
      </c>
      <c r="C3" s="1" t="s">
        <v>369</v>
      </c>
      <c r="D3" s="5" t="s">
        <v>92</v>
      </c>
      <c r="E3" s="20" t="s">
        <v>108</v>
      </c>
      <c r="F3" s="1" t="s">
        <v>107</v>
      </c>
    </row>
    <row r="4" spans="1:255" x14ac:dyDescent="0.15">
      <c r="A4" s="5"/>
      <c r="B4" s="20" t="s">
        <v>106</v>
      </c>
      <c r="C4" s="1" t="s">
        <v>105</v>
      </c>
      <c r="D4" s="5" t="s">
        <v>92</v>
      </c>
      <c r="E4" s="20" t="s">
        <v>104</v>
      </c>
      <c r="F4" s="1" t="s">
        <v>103</v>
      </c>
    </row>
    <row r="5" spans="1:255" x14ac:dyDescent="0.15">
      <c r="A5" s="5"/>
      <c r="B5" s="20" t="s">
        <v>102</v>
      </c>
      <c r="C5" s="1" t="s">
        <v>101</v>
      </c>
      <c r="D5" s="5" t="s">
        <v>92</v>
      </c>
      <c r="E5" s="20" t="s">
        <v>100</v>
      </c>
      <c r="F5" s="1" t="s">
        <v>99</v>
      </c>
    </row>
    <row r="6" spans="1:255" x14ac:dyDescent="0.15">
      <c r="A6" s="5"/>
      <c r="B6" s="20" t="s">
        <v>98</v>
      </c>
      <c r="C6" s="1" t="s">
        <v>97</v>
      </c>
      <c r="D6" s="5" t="s">
        <v>92</v>
      </c>
      <c r="E6" s="20" t="s">
        <v>96</v>
      </c>
      <c r="F6" s="21" t="s">
        <v>95</v>
      </c>
    </row>
    <row r="7" spans="1:255" x14ac:dyDescent="0.15">
      <c r="A7" s="5"/>
      <c r="B7" s="20" t="s">
        <v>94</v>
      </c>
      <c r="C7" s="1" t="s">
        <v>93</v>
      </c>
      <c r="D7" s="5" t="s">
        <v>92</v>
      </c>
      <c r="E7" s="19"/>
      <c r="F7" s="19"/>
    </row>
    <row r="10" spans="1:255" x14ac:dyDescent="0.15">
      <c r="A10" s="18" t="s">
        <v>181</v>
      </c>
      <c r="B10" s="18"/>
      <c r="C10" s="18"/>
      <c r="D10" s="18"/>
      <c r="E10" s="18"/>
      <c r="F10" s="18"/>
      <c r="G10" s="17"/>
      <c r="H10" s="17"/>
      <c r="I10" s="17"/>
      <c r="J10" s="17"/>
      <c r="K10" s="17"/>
      <c r="L10" s="17"/>
      <c r="M10" s="17"/>
      <c r="N10" s="17"/>
      <c r="O10" s="17"/>
      <c r="P10" s="17"/>
      <c r="Q10" s="17"/>
      <c r="R10" s="17"/>
      <c r="S10" s="17"/>
      <c r="T10" s="17"/>
      <c r="U10" s="17"/>
      <c r="V10" s="17"/>
      <c r="W10" s="17"/>
      <c r="X10" s="17"/>
      <c r="Y10" s="17"/>
      <c r="Z10" s="17"/>
      <c r="AA10" s="17"/>
      <c r="AB10" s="17"/>
      <c r="AC10" s="17"/>
      <c r="AD10" s="17"/>
      <c r="AE10" s="17"/>
      <c r="AF10" s="17"/>
      <c r="AG10" s="17"/>
      <c r="AH10" s="17"/>
      <c r="AI10" s="17"/>
      <c r="AJ10" s="17"/>
      <c r="AK10" s="17"/>
      <c r="AL10" s="17"/>
      <c r="AM10" s="17"/>
      <c r="AN10" s="17"/>
      <c r="AO10" s="17"/>
      <c r="AP10" s="17"/>
      <c r="AQ10" s="17"/>
      <c r="AR10" s="17"/>
      <c r="AS10" s="17"/>
      <c r="AT10" s="17"/>
      <c r="AU10" s="17"/>
      <c r="AV10" s="17"/>
      <c r="AW10" s="17"/>
      <c r="AX10" s="17"/>
      <c r="AY10" s="17"/>
      <c r="AZ10" s="17"/>
      <c r="BA10" s="17"/>
      <c r="BB10" s="17"/>
      <c r="BC10" s="17"/>
      <c r="BD10" s="17"/>
      <c r="BE10" s="17"/>
      <c r="BF10" s="17"/>
      <c r="BG10" s="17"/>
      <c r="BH10" s="17"/>
      <c r="BI10" s="17"/>
      <c r="BJ10" s="17"/>
      <c r="BK10" s="17"/>
      <c r="BL10" s="17"/>
      <c r="BM10" s="17"/>
      <c r="BN10" s="17"/>
      <c r="BO10" s="17"/>
      <c r="BP10" s="17"/>
      <c r="BQ10" s="17"/>
      <c r="BR10" s="17"/>
      <c r="BS10" s="17"/>
      <c r="BT10" s="17"/>
      <c r="BU10" s="17"/>
      <c r="BV10" s="17"/>
      <c r="BW10" s="17"/>
      <c r="BX10" s="17"/>
      <c r="BY10" s="17"/>
      <c r="BZ10" s="17"/>
      <c r="CA10" s="17"/>
      <c r="CB10" s="17"/>
      <c r="CC10" s="17"/>
      <c r="CD10" s="17"/>
      <c r="CE10" s="17"/>
      <c r="CF10" s="17"/>
      <c r="CG10" s="17"/>
      <c r="CH10" s="17"/>
      <c r="CI10" s="17"/>
      <c r="CJ10" s="17"/>
      <c r="CK10" s="17"/>
      <c r="CL10" s="17"/>
      <c r="CM10" s="17"/>
      <c r="CN10" s="17"/>
      <c r="CO10" s="17"/>
      <c r="CP10" s="17"/>
      <c r="CQ10" s="17"/>
      <c r="CR10" s="17"/>
      <c r="CS10" s="17"/>
      <c r="CT10" s="17"/>
      <c r="CU10" s="17"/>
      <c r="CV10" s="17"/>
      <c r="CW10" s="17"/>
      <c r="CX10" s="17"/>
      <c r="CY10" s="17"/>
      <c r="CZ10" s="17"/>
      <c r="DA10" s="17"/>
      <c r="DB10" s="17"/>
      <c r="DC10" s="17"/>
      <c r="DD10" s="17"/>
      <c r="DE10" s="17"/>
      <c r="DF10" s="17"/>
      <c r="DG10" s="17"/>
      <c r="DH10" s="17"/>
      <c r="DI10" s="17"/>
      <c r="DJ10" s="17"/>
      <c r="DK10" s="17"/>
      <c r="DL10" s="17"/>
      <c r="DM10" s="17"/>
      <c r="DN10" s="17"/>
      <c r="DO10" s="17"/>
      <c r="DP10" s="17"/>
      <c r="DQ10" s="17"/>
      <c r="DR10" s="17"/>
      <c r="DS10" s="17"/>
      <c r="DT10" s="17"/>
      <c r="DU10" s="17"/>
      <c r="DV10" s="17"/>
      <c r="DW10" s="17"/>
      <c r="DX10" s="17"/>
      <c r="DY10" s="17"/>
      <c r="DZ10" s="17"/>
      <c r="EA10" s="17"/>
      <c r="EB10" s="17"/>
      <c r="EC10" s="17"/>
      <c r="ED10" s="17"/>
      <c r="EE10" s="17"/>
      <c r="EF10" s="17"/>
      <c r="EG10" s="17"/>
      <c r="EH10" s="17"/>
      <c r="EI10" s="17"/>
      <c r="EJ10" s="17"/>
      <c r="EK10" s="17"/>
      <c r="EL10" s="17"/>
      <c r="EM10" s="17"/>
      <c r="EN10" s="17"/>
      <c r="EO10" s="17"/>
      <c r="EP10" s="17"/>
      <c r="EQ10" s="17"/>
      <c r="ER10" s="17"/>
      <c r="ES10" s="17"/>
      <c r="ET10" s="17"/>
      <c r="EU10" s="17"/>
      <c r="EV10" s="17"/>
      <c r="EW10" s="17"/>
      <c r="EX10" s="17"/>
      <c r="EY10" s="17"/>
      <c r="EZ10" s="17"/>
      <c r="FA10" s="17"/>
      <c r="FB10" s="17"/>
      <c r="FC10" s="17"/>
      <c r="FD10" s="17"/>
      <c r="FE10" s="17"/>
      <c r="FF10" s="17"/>
      <c r="FG10" s="17"/>
      <c r="FH10" s="17"/>
      <c r="FI10" s="17"/>
      <c r="FJ10" s="17"/>
      <c r="FK10" s="17"/>
      <c r="FL10" s="17"/>
      <c r="FM10" s="17"/>
      <c r="FN10" s="17"/>
      <c r="FO10" s="17"/>
      <c r="FP10" s="17"/>
      <c r="FQ10" s="17"/>
      <c r="FR10" s="17"/>
      <c r="FS10" s="17"/>
      <c r="FT10" s="17"/>
      <c r="FU10" s="17"/>
      <c r="FV10" s="17"/>
      <c r="FW10" s="17"/>
      <c r="FX10" s="17"/>
      <c r="FY10" s="17"/>
      <c r="FZ10" s="17"/>
      <c r="GA10" s="17"/>
      <c r="GB10" s="17"/>
      <c r="GC10" s="17"/>
      <c r="GD10" s="17"/>
      <c r="GE10" s="17"/>
      <c r="GF10" s="17"/>
      <c r="GG10" s="17"/>
      <c r="GH10" s="17"/>
      <c r="GI10" s="17"/>
      <c r="GJ10" s="17"/>
      <c r="GK10" s="17"/>
      <c r="GL10" s="17"/>
      <c r="GM10" s="17"/>
      <c r="GN10" s="17"/>
      <c r="GO10" s="17"/>
      <c r="GP10" s="17"/>
      <c r="GQ10" s="17"/>
      <c r="GR10" s="17"/>
      <c r="GS10" s="17"/>
      <c r="GT10" s="17"/>
      <c r="GU10" s="17"/>
      <c r="GV10" s="17"/>
      <c r="GW10" s="17"/>
      <c r="GX10" s="17"/>
      <c r="GY10" s="17"/>
      <c r="GZ10" s="17"/>
      <c r="HA10" s="17"/>
      <c r="HB10" s="17"/>
      <c r="HC10" s="17"/>
      <c r="HD10" s="17"/>
      <c r="HE10" s="17"/>
      <c r="HF10" s="17"/>
      <c r="HG10" s="17"/>
      <c r="HH10" s="17"/>
      <c r="HI10" s="17"/>
      <c r="HJ10" s="17"/>
      <c r="HK10" s="17"/>
      <c r="HL10" s="17"/>
      <c r="HM10" s="17"/>
      <c r="HN10" s="17"/>
      <c r="HO10" s="17"/>
      <c r="HP10" s="17"/>
      <c r="HQ10" s="17"/>
      <c r="HR10" s="17"/>
      <c r="HS10" s="17"/>
      <c r="HT10" s="17"/>
      <c r="HU10" s="17"/>
      <c r="HV10" s="17"/>
      <c r="HW10" s="17"/>
      <c r="HX10" s="17"/>
      <c r="HY10" s="17"/>
      <c r="HZ10" s="17"/>
      <c r="IA10" s="17"/>
      <c r="IB10" s="17"/>
      <c r="IC10" s="17"/>
      <c r="ID10" s="17"/>
      <c r="IE10" s="17"/>
      <c r="IF10" s="17"/>
      <c r="IG10" s="17"/>
      <c r="IH10" s="17"/>
      <c r="II10" s="17"/>
      <c r="IJ10" s="17"/>
      <c r="IK10" s="17"/>
      <c r="IL10" s="17"/>
      <c r="IM10" s="17"/>
      <c r="IN10" s="17"/>
      <c r="IO10" s="17"/>
      <c r="IP10" s="17"/>
      <c r="IQ10" s="17"/>
      <c r="IR10" s="17"/>
      <c r="IS10" s="17"/>
      <c r="IT10" s="17"/>
      <c r="IU10" s="17"/>
    </row>
    <row r="11" spans="1:255" ht="24" x14ac:dyDescent="0.15">
      <c r="A11" s="27" t="s">
        <v>180</v>
      </c>
      <c r="B11" s="28">
        <v>2020</v>
      </c>
      <c r="C11" s="28">
        <f>B11+1</f>
        <v>2021</v>
      </c>
      <c r="D11" s="28">
        <f t="shared" ref="D11:F11" si="0">C11+1</f>
        <v>2022</v>
      </c>
      <c r="E11" s="28">
        <f t="shared" si="0"/>
        <v>2023</v>
      </c>
      <c r="F11" s="28">
        <f t="shared" si="0"/>
        <v>2024</v>
      </c>
    </row>
    <row r="12" spans="1:255" ht="12" x14ac:dyDescent="0.15">
      <c r="A12" s="29" t="s">
        <v>89</v>
      </c>
      <c r="B12" s="30" t="s">
        <v>88</v>
      </c>
      <c r="C12" s="30" t="s">
        <v>88</v>
      </c>
      <c r="D12" s="30" t="s">
        <v>88</v>
      </c>
      <c r="E12" s="30" t="s">
        <v>88</v>
      </c>
      <c r="F12" s="30" t="s">
        <v>88</v>
      </c>
    </row>
    <row r="13" spans="1:255" x14ac:dyDescent="0.15">
      <c r="A13" s="18" t="s">
        <v>368</v>
      </c>
      <c r="B13" s="18" t="s">
        <v>367</v>
      </c>
      <c r="C13" s="18" t="s">
        <v>367</v>
      </c>
      <c r="D13" s="18" t="s">
        <v>367</v>
      </c>
      <c r="E13" s="18" t="s">
        <v>367</v>
      </c>
      <c r="F13" s="18" t="s">
        <v>367</v>
      </c>
    </row>
    <row r="14" spans="1:255" x14ac:dyDescent="0.15">
      <c r="A14" s="7" t="s">
        <v>398</v>
      </c>
      <c r="B14" s="5"/>
      <c r="C14" s="5"/>
      <c r="D14" s="5"/>
      <c r="E14" s="5"/>
      <c r="F14" s="5"/>
    </row>
    <row r="15" spans="1:255" x14ac:dyDescent="0.15">
      <c r="A15" s="5" t="s">
        <v>397</v>
      </c>
      <c r="B15" s="8">
        <v>770.1</v>
      </c>
      <c r="C15" s="8">
        <v>637.4</v>
      </c>
      <c r="D15" s="8">
        <v>600</v>
      </c>
      <c r="E15" s="8">
        <v>868.9</v>
      </c>
      <c r="F15" s="8">
        <v>969.3</v>
      </c>
    </row>
    <row r="16" spans="1:255" x14ac:dyDescent="0.15">
      <c r="A16" s="5" t="s">
        <v>396</v>
      </c>
      <c r="B16" s="8">
        <v>549.6</v>
      </c>
      <c r="C16" s="8">
        <v>678.9</v>
      </c>
      <c r="D16" s="8">
        <v>739.8</v>
      </c>
      <c r="E16" s="8">
        <v>757.8</v>
      </c>
      <c r="F16" s="8">
        <v>693.1</v>
      </c>
    </row>
    <row r="17" spans="1:6" x14ac:dyDescent="0.15">
      <c r="A17" s="5" t="s">
        <v>395</v>
      </c>
      <c r="B17" s="8">
        <v>129.1</v>
      </c>
      <c r="C17" s="8">
        <v>200.5</v>
      </c>
      <c r="D17" s="8">
        <v>126.4</v>
      </c>
      <c r="E17" s="8">
        <v>121.6</v>
      </c>
      <c r="F17" s="8">
        <v>149.80000000000001</v>
      </c>
    </row>
    <row r="18" spans="1:6" ht="12" x14ac:dyDescent="0.15">
      <c r="A18" s="5" t="s">
        <v>399</v>
      </c>
      <c r="B18" s="8">
        <v>8.4</v>
      </c>
      <c r="C18" s="8" t="s">
        <v>4</v>
      </c>
      <c r="D18" s="8" t="s">
        <v>4</v>
      </c>
      <c r="E18" s="8" t="s">
        <v>4</v>
      </c>
      <c r="F18" s="8" t="s">
        <v>4</v>
      </c>
    </row>
    <row r="19" spans="1:6" x14ac:dyDescent="0.15">
      <c r="A19" s="5" t="s">
        <v>394</v>
      </c>
      <c r="B19" s="8">
        <v>664.3</v>
      </c>
      <c r="C19" s="8">
        <v>804.7</v>
      </c>
      <c r="D19" s="8">
        <v>792.9</v>
      </c>
      <c r="E19" s="8">
        <v>802.3</v>
      </c>
      <c r="F19" s="8">
        <v>727.8</v>
      </c>
    </row>
    <row r="20" spans="1:6" x14ac:dyDescent="0.15">
      <c r="A20" s="5" t="s">
        <v>393</v>
      </c>
      <c r="B20" s="8">
        <v>297.3</v>
      </c>
      <c r="C20" s="8">
        <v>457.2</v>
      </c>
      <c r="D20" s="8">
        <v>378.9</v>
      </c>
      <c r="E20" s="8">
        <v>297.89999999999998</v>
      </c>
      <c r="F20" s="8">
        <v>308.39999999999998</v>
      </c>
    </row>
    <row r="21" spans="1:6" x14ac:dyDescent="0.15">
      <c r="A21" s="7" t="s">
        <v>171</v>
      </c>
      <c r="B21" s="6">
        <v>2418.8000000000002</v>
      </c>
      <c r="C21" s="6">
        <v>2778.7</v>
      </c>
      <c r="D21" s="6">
        <v>2638</v>
      </c>
      <c r="E21" s="6">
        <v>2848.5</v>
      </c>
      <c r="F21" s="6">
        <v>2848.4</v>
      </c>
    </row>
    <row r="22" spans="1:6" x14ac:dyDescent="0.15">
      <c r="A22" s="5"/>
      <c r="B22" s="5"/>
      <c r="C22" s="5"/>
      <c r="D22" s="5"/>
      <c r="E22" s="5"/>
      <c r="F22" s="5"/>
    </row>
    <row r="23" spans="1:6" x14ac:dyDescent="0.15">
      <c r="A23" s="7" t="s">
        <v>392</v>
      </c>
      <c r="B23" s="5"/>
      <c r="C23" s="5"/>
      <c r="D23" s="5"/>
      <c r="E23" s="5"/>
      <c r="F23" s="5"/>
    </row>
    <row r="24" spans="1:6" x14ac:dyDescent="0.15">
      <c r="A24" s="5" t="s">
        <v>391</v>
      </c>
      <c r="B24" s="8">
        <v>4250.3</v>
      </c>
      <c r="C24" s="8">
        <v>4192.3999999999996</v>
      </c>
      <c r="D24" s="8">
        <v>4222.8</v>
      </c>
      <c r="E24" s="8">
        <v>4444.5</v>
      </c>
      <c r="F24" s="8">
        <v>4460.3999999999996</v>
      </c>
    </row>
    <row r="25" spans="1:6" x14ac:dyDescent="0.15">
      <c r="A25" s="5" t="s">
        <v>390</v>
      </c>
      <c r="B25" s="8">
        <v>6151</v>
      </c>
      <c r="C25" s="8">
        <v>6152.6</v>
      </c>
      <c r="D25" s="8">
        <v>5291.9</v>
      </c>
      <c r="E25" s="8">
        <v>5325.3</v>
      </c>
      <c r="F25" s="8">
        <v>5582.3</v>
      </c>
    </row>
    <row r="26" spans="1:6" x14ac:dyDescent="0.15">
      <c r="A26" s="5" t="s">
        <v>389</v>
      </c>
      <c r="B26" s="8">
        <v>13556.1</v>
      </c>
      <c r="C26" s="8">
        <v>13286.8</v>
      </c>
      <c r="D26" s="8">
        <v>12800.1</v>
      </c>
      <c r="E26" s="8">
        <v>12614.6</v>
      </c>
      <c r="F26" s="8">
        <v>12195.2</v>
      </c>
    </row>
    <row r="27" spans="1:6" x14ac:dyDescent="0.15">
      <c r="A27" s="5" t="s">
        <v>388</v>
      </c>
      <c r="B27" s="8">
        <v>954.9</v>
      </c>
      <c r="C27" s="8">
        <v>1208.5</v>
      </c>
      <c r="D27" s="8">
        <v>915.5</v>
      </c>
      <c r="E27" s="8">
        <v>1142.2</v>
      </c>
      <c r="F27" s="8">
        <v>978</v>
      </c>
    </row>
    <row r="28" spans="1:6" x14ac:dyDescent="0.15">
      <c r="A28" s="7" t="s">
        <v>184</v>
      </c>
      <c r="B28" s="6">
        <v>27331.1</v>
      </c>
      <c r="C28" s="6">
        <v>27619</v>
      </c>
      <c r="D28" s="6">
        <v>25868.3</v>
      </c>
      <c r="E28" s="6">
        <v>26375.1</v>
      </c>
      <c r="F28" s="6">
        <v>26064.3</v>
      </c>
    </row>
    <row r="29" spans="1:6" x14ac:dyDescent="0.15">
      <c r="A29" s="5"/>
      <c r="B29" s="5"/>
      <c r="C29" s="5"/>
      <c r="D29" s="5"/>
      <c r="E29" s="5"/>
      <c r="F29" s="5"/>
    </row>
    <row r="30" spans="1:6" x14ac:dyDescent="0.15">
      <c r="A30" s="7" t="s">
        <v>387</v>
      </c>
      <c r="B30" s="5"/>
      <c r="C30" s="5"/>
      <c r="D30" s="5"/>
      <c r="E30" s="5"/>
      <c r="F30" s="5"/>
    </row>
    <row r="31" spans="1:6" x14ac:dyDescent="0.15">
      <c r="A31" s="5" t="s">
        <v>386</v>
      </c>
      <c r="B31" s="8">
        <v>2889.5</v>
      </c>
      <c r="C31" s="8">
        <v>3107.3</v>
      </c>
      <c r="D31" s="8">
        <v>2978.3</v>
      </c>
      <c r="E31" s="8">
        <v>3180.8</v>
      </c>
      <c r="F31" s="8">
        <v>3013</v>
      </c>
    </row>
    <row r="32" spans="1:6" x14ac:dyDescent="0.15">
      <c r="A32" s="5" t="s">
        <v>385</v>
      </c>
      <c r="B32" s="8">
        <v>1020.1</v>
      </c>
      <c r="C32" s="8">
        <v>514.9</v>
      </c>
      <c r="D32" s="8">
        <v>397.1</v>
      </c>
      <c r="E32" s="8">
        <v>911.8</v>
      </c>
      <c r="F32" s="8">
        <v>32.200000000000003</v>
      </c>
    </row>
    <row r="33" spans="1:6" x14ac:dyDescent="0.15">
      <c r="A33" s="7" t="s">
        <v>153</v>
      </c>
      <c r="B33" s="6">
        <v>3909.6</v>
      </c>
      <c r="C33" s="6">
        <v>3622.2</v>
      </c>
      <c r="D33" s="6">
        <v>3375.4</v>
      </c>
      <c r="E33" s="6">
        <v>4092.6</v>
      </c>
      <c r="F33" s="6">
        <v>3045.2</v>
      </c>
    </row>
    <row r="34" spans="1:6" x14ac:dyDescent="0.15">
      <c r="A34" s="5"/>
      <c r="B34" s="5"/>
      <c r="C34" s="5"/>
      <c r="D34" s="5"/>
      <c r="E34" s="5"/>
      <c r="F34" s="5"/>
    </row>
    <row r="35" spans="1:6" x14ac:dyDescent="0.15">
      <c r="A35" s="7" t="s">
        <v>384</v>
      </c>
      <c r="B35" s="5"/>
      <c r="C35" s="5"/>
      <c r="D35" s="5"/>
      <c r="E35" s="5"/>
      <c r="F35" s="5"/>
    </row>
    <row r="36" spans="1:6" x14ac:dyDescent="0.15">
      <c r="A36" s="5" t="s">
        <v>383</v>
      </c>
      <c r="B36" s="8">
        <v>7208.2</v>
      </c>
      <c r="C36" s="8">
        <v>6647.2</v>
      </c>
      <c r="D36" s="8">
        <v>6165.2</v>
      </c>
      <c r="E36" s="8">
        <v>5312.1</v>
      </c>
      <c r="F36" s="8">
        <v>6113.9</v>
      </c>
    </row>
    <row r="37" spans="1:6" x14ac:dyDescent="0.15">
      <c r="A37" s="5" t="s">
        <v>382</v>
      </c>
      <c r="B37" s="8">
        <v>763.2</v>
      </c>
      <c r="C37" s="8">
        <v>654.4</v>
      </c>
      <c r="D37" s="8">
        <v>473.3</v>
      </c>
      <c r="E37" s="8">
        <v>465.8</v>
      </c>
      <c r="F37" s="8">
        <v>416.7</v>
      </c>
    </row>
    <row r="38" spans="1:6" x14ac:dyDescent="0.15">
      <c r="A38" s="5" t="s">
        <v>381</v>
      </c>
      <c r="B38" s="8">
        <v>2381.6</v>
      </c>
      <c r="C38" s="8">
        <v>2704.6</v>
      </c>
      <c r="D38" s="8">
        <v>2646.4</v>
      </c>
      <c r="E38" s="8">
        <v>2697.2</v>
      </c>
      <c r="F38" s="8">
        <v>2733.4</v>
      </c>
    </row>
    <row r="39" spans="1:6" x14ac:dyDescent="0.15">
      <c r="A39" s="5" t="s">
        <v>380</v>
      </c>
      <c r="B39" s="8">
        <v>256.3</v>
      </c>
      <c r="C39" s="8">
        <v>247</v>
      </c>
      <c r="D39" s="8">
        <v>225.5</v>
      </c>
      <c r="E39" s="8">
        <v>211.2</v>
      </c>
      <c r="F39" s="8">
        <v>191.8</v>
      </c>
    </row>
    <row r="40" spans="1:6" ht="12" x14ac:dyDescent="0.15">
      <c r="A40" s="5" t="s">
        <v>379</v>
      </c>
      <c r="B40" s="8" t="s">
        <v>4</v>
      </c>
      <c r="C40" s="8" t="s">
        <v>4</v>
      </c>
      <c r="D40" s="8" t="s">
        <v>4</v>
      </c>
      <c r="E40" s="8">
        <v>27.9</v>
      </c>
      <c r="F40" s="8">
        <v>168.5</v>
      </c>
    </row>
    <row r="41" spans="1:6" x14ac:dyDescent="0.15">
      <c r="A41" s="5" t="s">
        <v>378</v>
      </c>
      <c r="B41" s="8">
        <v>447.2</v>
      </c>
      <c r="C41" s="8">
        <v>326.5</v>
      </c>
      <c r="D41" s="8">
        <v>292.8</v>
      </c>
      <c r="E41" s="8">
        <v>372.3</v>
      </c>
      <c r="F41" s="8">
        <v>302.39999999999998</v>
      </c>
    </row>
    <row r="42" spans="1:6" x14ac:dyDescent="0.15">
      <c r="A42" s="5"/>
      <c r="B42" s="5"/>
      <c r="C42" s="5"/>
      <c r="D42" s="5"/>
      <c r="E42" s="5"/>
      <c r="F42" s="5"/>
    </row>
    <row r="43" spans="1:6" x14ac:dyDescent="0.15">
      <c r="A43" s="7" t="s">
        <v>377</v>
      </c>
      <c r="B43" s="5"/>
      <c r="C43" s="5"/>
      <c r="D43" s="5"/>
      <c r="E43" s="5"/>
      <c r="F43" s="5"/>
    </row>
    <row r="44" spans="1:6" x14ac:dyDescent="0.15">
      <c r="A44" s="5" t="s">
        <v>376</v>
      </c>
      <c r="B44" s="8">
        <v>2.1</v>
      </c>
      <c r="C44" s="8">
        <v>102.2</v>
      </c>
      <c r="D44" s="8">
        <v>2.1</v>
      </c>
      <c r="E44" s="8">
        <v>2.1</v>
      </c>
      <c r="F44" s="8">
        <v>2.1</v>
      </c>
    </row>
    <row r="45" spans="1:6" x14ac:dyDescent="0.15">
      <c r="A45" s="5" t="s">
        <v>376</v>
      </c>
      <c r="B45" s="8">
        <v>102.3</v>
      </c>
      <c r="C45" s="8">
        <v>417.8</v>
      </c>
      <c r="D45" s="8">
        <v>102.2</v>
      </c>
      <c r="E45" s="8">
        <v>100.8</v>
      </c>
      <c r="F45" s="8">
        <v>100.8</v>
      </c>
    </row>
    <row r="46" spans="1:6" x14ac:dyDescent="0.15">
      <c r="A46" s="5" t="s">
        <v>376</v>
      </c>
      <c r="B46" s="8">
        <v>417.8</v>
      </c>
      <c r="C46" s="8">
        <v>2.1</v>
      </c>
      <c r="D46" s="8">
        <v>413.3</v>
      </c>
      <c r="E46" s="8">
        <v>352.3</v>
      </c>
      <c r="F46" s="8">
        <v>271.10000000000002</v>
      </c>
    </row>
    <row r="47" spans="1:6" x14ac:dyDescent="0.15">
      <c r="A47" s="5" t="s">
        <v>375</v>
      </c>
      <c r="B47" s="8">
        <v>6937.8</v>
      </c>
      <c r="C47" s="8">
        <v>6970.9</v>
      </c>
      <c r="D47" s="8">
        <v>7006.4</v>
      </c>
      <c r="E47" s="8">
        <v>7108.4</v>
      </c>
      <c r="F47" s="8">
        <v>7223.6</v>
      </c>
    </row>
    <row r="48" spans="1:6" x14ac:dyDescent="0.15">
      <c r="A48" s="5" t="s">
        <v>374</v>
      </c>
      <c r="B48" s="8">
        <v>-471.4</v>
      </c>
      <c r="C48" s="8">
        <v>-471.4</v>
      </c>
      <c r="D48" s="8">
        <v>-522.9</v>
      </c>
      <c r="E48" s="8">
        <v>-735.6</v>
      </c>
      <c r="F48" s="8">
        <v>-1380.8</v>
      </c>
    </row>
    <row r="49" spans="1:6" x14ac:dyDescent="0.15">
      <c r="A49" s="5" t="s">
        <v>373</v>
      </c>
      <c r="B49" s="8">
        <v>6544.2</v>
      </c>
      <c r="C49" s="8">
        <v>7401.5</v>
      </c>
      <c r="D49" s="8">
        <v>6894.1</v>
      </c>
      <c r="E49" s="8">
        <v>7484.3</v>
      </c>
      <c r="F49" s="8">
        <v>8238</v>
      </c>
    </row>
    <row r="50" spans="1:6" x14ac:dyDescent="0.15">
      <c r="A50" s="5" t="s">
        <v>372</v>
      </c>
      <c r="B50" s="8">
        <v>-1167.8</v>
      </c>
      <c r="C50" s="8">
        <v>-1006</v>
      </c>
      <c r="D50" s="8">
        <v>-1205.5</v>
      </c>
      <c r="E50" s="8">
        <v>-1116.3</v>
      </c>
      <c r="F50" s="8">
        <v>-1362.4</v>
      </c>
    </row>
    <row r="51" spans="1:6" x14ac:dyDescent="0.15">
      <c r="A51" s="7" t="s">
        <v>371</v>
      </c>
      <c r="B51" s="6">
        <v>12365</v>
      </c>
      <c r="C51" s="6">
        <v>13417.1</v>
      </c>
      <c r="D51" s="6">
        <v>12689.7</v>
      </c>
      <c r="E51" s="6">
        <v>13196</v>
      </c>
      <c r="F51" s="6">
        <v>13092.4</v>
      </c>
    </row>
    <row r="52" spans="1:6" x14ac:dyDescent="0.15">
      <c r="A52" s="7" t="s">
        <v>370</v>
      </c>
      <c r="B52" s="6">
        <v>27331.1</v>
      </c>
      <c r="C52" s="6">
        <v>27619</v>
      </c>
      <c r="D52" s="6">
        <v>25868.3</v>
      </c>
      <c r="E52" s="6">
        <v>26375.1</v>
      </c>
      <c r="F52" s="6">
        <v>26064.3</v>
      </c>
    </row>
    <row r="53" spans="1:6" x14ac:dyDescent="0.15">
      <c r="A53" s="3"/>
      <c r="B53" s="3"/>
      <c r="C53" s="3"/>
      <c r="D53" s="3"/>
      <c r="E53" s="3"/>
      <c r="F53" s="3"/>
    </row>
    <row r="54" spans="1:6" x14ac:dyDescent="0.15">
      <c r="A54" s="1" t="s">
        <v>113</v>
      </c>
    </row>
    <row r="55" spans="1:6" x14ac:dyDescent="0.15">
      <c r="A55" s="2" t="s">
        <v>0</v>
      </c>
    </row>
  </sheetData>
  <pageMargins left="0.2" right="0.2" top="0.5" bottom="0.5" header="0.5" footer="0.5"/>
  <pageSetup fitToWidth="0" fitToHeight="0" orientation="landscape" horizontalDpi="0" verticalDpi="0"/>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58A96D-0B75-3844-ABF1-FD05FB41B04A}">
  <sheetPr codeName="Sheet15"/>
  <dimension ref="B2:I16"/>
  <sheetViews>
    <sheetView showGridLines="0" zoomScale="190" zoomScaleNormal="190" workbookViewId="0">
      <selection activeCell="E10" sqref="E10"/>
    </sheetView>
  </sheetViews>
  <sheetFormatPr baseColWidth="10" defaultColWidth="9.33203125" defaultRowHeight="14" x14ac:dyDescent="0.15"/>
  <cols>
    <col min="1" max="1" width="3.33203125" style="199" customWidth="1"/>
    <col min="2" max="2" width="21" style="199" customWidth="1"/>
    <col min="3" max="3" width="17.33203125" style="199" customWidth="1"/>
    <col min="4" max="4" width="3.33203125" style="199" customWidth="1"/>
    <col min="5" max="6" width="15.5" style="199" customWidth="1"/>
    <col min="7" max="7" width="3.33203125" style="199" customWidth="1"/>
    <col min="8" max="8" width="17.5" style="199" customWidth="1"/>
    <col min="9" max="9" width="9.5" style="199" bestFit="1" customWidth="1"/>
    <col min="10" max="16384" width="9.33203125" style="199"/>
  </cols>
  <sheetData>
    <row r="2" spans="2:9" x14ac:dyDescent="0.15">
      <c r="B2" s="208" t="s">
        <v>411</v>
      </c>
      <c r="C2" s="210" t="s">
        <v>272</v>
      </c>
    </row>
    <row r="3" spans="2:9" x14ac:dyDescent="0.15">
      <c r="B3" s="208"/>
    </row>
    <row r="4" spans="2:9" x14ac:dyDescent="0.15">
      <c r="C4" s="206" t="s">
        <v>410</v>
      </c>
      <c r="D4" s="209"/>
      <c r="E4" s="206" t="s">
        <v>409</v>
      </c>
      <c r="F4" s="206"/>
      <c r="G4" s="208"/>
      <c r="H4" s="206" t="s">
        <v>408</v>
      </c>
      <c r="I4" s="205"/>
    </row>
    <row r="5" spans="2:9" x14ac:dyDescent="0.15">
      <c r="C5" s="204"/>
      <c r="D5" s="204"/>
      <c r="E5" s="204"/>
      <c r="F5" s="204"/>
      <c r="G5" s="204"/>
      <c r="H5" s="204"/>
      <c r="I5" s="203"/>
    </row>
    <row r="6" spans="2:9" x14ac:dyDescent="0.15">
      <c r="B6" s="199" t="s">
        <v>366</v>
      </c>
      <c r="C6" s="200">
        <v>11214</v>
      </c>
      <c r="D6" s="207"/>
      <c r="E6" s="200"/>
      <c r="F6" s="200"/>
      <c r="G6" s="207"/>
      <c r="H6" s="207"/>
    </row>
    <row r="8" spans="2:9" x14ac:dyDescent="0.15">
      <c r="H8" s="206" t="s">
        <v>407</v>
      </c>
      <c r="I8" s="205"/>
    </row>
    <row r="9" spans="2:9" x14ac:dyDescent="0.15">
      <c r="H9" s="204"/>
      <c r="I9" s="203"/>
    </row>
    <row r="10" spans="2:9" x14ac:dyDescent="0.15">
      <c r="B10" s="199" t="s">
        <v>406</v>
      </c>
      <c r="C10" s="288">
        <v>5385</v>
      </c>
      <c r="H10" s="200"/>
      <c r="I10" s="202"/>
    </row>
    <row r="11" spans="2:9" x14ac:dyDescent="0.15">
      <c r="B11" s="199" t="s">
        <v>405</v>
      </c>
      <c r="C11" s="210">
        <v>0</v>
      </c>
      <c r="H11" s="200"/>
    </row>
    <row r="12" spans="2:9" x14ac:dyDescent="0.15">
      <c r="B12" s="199" t="s">
        <v>404</v>
      </c>
      <c r="C12" s="210">
        <v>360.3</v>
      </c>
      <c r="H12" s="200"/>
    </row>
    <row r="13" spans="2:9" x14ac:dyDescent="0.15">
      <c r="H13" s="200"/>
    </row>
    <row r="14" spans="2:9" x14ac:dyDescent="0.15">
      <c r="B14" s="199" t="s">
        <v>269</v>
      </c>
      <c r="C14" s="201"/>
      <c r="H14" s="200"/>
    </row>
    <row r="15" spans="2:9" x14ac:dyDescent="0.15">
      <c r="B15" s="199" t="s">
        <v>403</v>
      </c>
      <c r="C15" s="200"/>
      <c r="H15" s="200"/>
    </row>
    <row r="16" spans="2:9" x14ac:dyDescent="0.15">
      <c r="B16" s="199" t="s">
        <v>402</v>
      </c>
      <c r="C16" s="200"/>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activity xmlns="284c755c-4231-48ff-8250-16b6ed1fda61"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44C84175E17BC64FA93D9D74A2ADD37C" ma:contentTypeVersion="14" ma:contentTypeDescription="Create a new document." ma:contentTypeScope="" ma:versionID="103b930f22aad0a5999011171aab943b">
  <xsd:schema xmlns:xsd="http://www.w3.org/2001/XMLSchema" xmlns:xs="http://www.w3.org/2001/XMLSchema" xmlns:p="http://schemas.microsoft.com/office/2006/metadata/properties" xmlns:ns3="284c755c-4231-48ff-8250-16b6ed1fda61" xmlns:ns4="2caab2c4-64aa-47ff-ac1f-222cd52d9019" targetNamespace="http://schemas.microsoft.com/office/2006/metadata/properties" ma:root="true" ma:fieldsID="ed95919607448dafe080b06f61878e03" ns3:_="" ns4:_="">
    <xsd:import namespace="284c755c-4231-48ff-8250-16b6ed1fda61"/>
    <xsd:import namespace="2caab2c4-64aa-47ff-ac1f-222cd52d9019"/>
    <xsd:element name="properties">
      <xsd:complexType>
        <xsd:sequence>
          <xsd:element name="documentManagement">
            <xsd:complexType>
              <xsd:all>
                <xsd:element ref="ns3:_activity" minOccurs="0"/>
                <xsd:element ref="ns3:MediaServiceMetadata" minOccurs="0"/>
                <xsd:element ref="ns3:MediaServiceFastMetadata" minOccurs="0"/>
                <xsd:element ref="ns3:MediaServiceObjectDetectorVersions" minOccurs="0"/>
                <xsd:element ref="ns4:SharedWithUsers" minOccurs="0"/>
                <xsd:element ref="ns4:SharedWithDetails" minOccurs="0"/>
                <xsd:element ref="ns4:SharingHintHash" minOccurs="0"/>
                <xsd:element ref="ns3:MediaServiceSearchProperties" minOccurs="0"/>
                <xsd:element ref="ns3:MediaServiceDateTaken" minOccurs="0"/>
                <xsd:element ref="ns3:MediaServiceSystemTags" minOccurs="0"/>
                <xsd:element ref="ns3:MediaServiceOCR" minOccurs="0"/>
                <xsd:element ref="ns3:MediaServiceGenerationTime" minOccurs="0"/>
                <xsd:element ref="ns3:MediaServiceEventHashCode"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84c755c-4231-48ff-8250-16b6ed1fda61" elementFormDefault="qualified">
    <xsd:import namespace="http://schemas.microsoft.com/office/2006/documentManagement/types"/>
    <xsd:import namespace="http://schemas.microsoft.com/office/infopath/2007/PartnerControls"/>
    <xsd:element name="_activity" ma:index="8" nillable="true" ma:displayName="_activity" ma:hidden="true" ma:internalName="_activity">
      <xsd:simpleType>
        <xsd:restriction base="dms:Not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element name="MediaServiceDateTaken" ma:index="16" nillable="true" ma:displayName="MediaServiceDateTaken" ma:hidden="true" ma:indexed="true" ma:internalName="MediaServiceDateTaken" ma:readOnly="true">
      <xsd:simpleType>
        <xsd:restriction base="dms:Text"/>
      </xsd:simpleType>
    </xsd:element>
    <xsd:element name="MediaServiceSystemTags" ma:index="17" nillable="true" ma:displayName="MediaServiceSystemTags" ma:hidden="true" ma:internalName="MediaServiceSystemTags" ma:readOnly="true">
      <xsd:simpleType>
        <xsd:restriction base="dms:Note"/>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caab2c4-64aa-47ff-ac1f-222cd52d901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SharingHintHash" ma:index="14"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0EA4D48-0C1E-48DD-9D1E-1EEBF651B01A}">
  <ds:schemaRefs>
    <ds:schemaRef ds:uri="http://schemas.microsoft.com/sharepoint/v3/contenttype/forms"/>
  </ds:schemaRefs>
</ds:datastoreItem>
</file>

<file path=customXml/itemProps2.xml><?xml version="1.0" encoding="utf-8"?>
<ds:datastoreItem xmlns:ds="http://schemas.openxmlformats.org/officeDocument/2006/customXml" ds:itemID="{9ADDC307-C01D-46C0-9DBC-20B687B78D3A}">
  <ds:schemaRefs>
    <ds:schemaRef ds:uri="http://schemas.microsoft.com/office/2006/documentManagement/types"/>
    <ds:schemaRef ds:uri="http://www.w3.org/XML/1998/namespace"/>
    <ds:schemaRef ds:uri="http://schemas.microsoft.com/office/2006/metadata/properties"/>
    <ds:schemaRef ds:uri="http://schemas.openxmlformats.org/package/2006/metadata/core-properties"/>
    <ds:schemaRef ds:uri="http://purl.org/dc/terms/"/>
    <ds:schemaRef ds:uri="2caab2c4-64aa-47ff-ac1f-222cd52d9019"/>
    <ds:schemaRef ds:uri="http://purl.org/dc/elements/1.1/"/>
    <ds:schemaRef ds:uri="http://schemas.microsoft.com/office/infopath/2007/PartnerControls"/>
    <ds:schemaRef ds:uri="284c755c-4231-48ff-8250-16b6ed1fda61"/>
    <ds:schemaRef ds:uri="http://purl.org/dc/dcmitype/"/>
  </ds:schemaRefs>
</ds:datastoreItem>
</file>

<file path=customXml/itemProps3.xml><?xml version="1.0" encoding="utf-8"?>
<ds:datastoreItem xmlns:ds="http://schemas.openxmlformats.org/officeDocument/2006/customXml" ds:itemID="{8AF8F853-3F72-4F89-BB90-56DAE4573BF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84c755c-4231-48ff-8250-16b6ed1fda61"/>
    <ds:schemaRef ds:uri="2caab2c4-64aa-47ff-ac1f-222cd52d901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13</vt:i4>
      </vt:variant>
      <vt:variant>
        <vt:lpstr>Named Ranges</vt:lpstr>
      </vt:variant>
      <vt:variant>
        <vt:i4>1</vt:i4>
      </vt:variant>
    </vt:vector>
  </HeadingPairs>
  <TitlesOfParts>
    <vt:vector size="14" baseType="lpstr">
      <vt:lpstr>Title</vt:lpstr>
      <vt:lpstr>TAP_DCF</vt:lpstr>
      <vt:lpstr>Possible_Comps</vt:lpstr>
      <vt:lpstr>Selecting_Comps</vt:lpstr>
      <vt:lpstr>TAP_Comps</vt:lpstr>
      <vt:lpstr>Relative Valuation Chart</vt:lpstr>
      <vt:lpstr>TAP Football Field</vt:lpstr>
      <vt:lpstr>Income Statement</vt:lpstr>
      <vt:lpstr>Balance Sheet</vt:lpstr>
      <vt:lpstr>Cash Flow</vt:lpstr>
      <vt:lpstr>As Reported IS</vt:lpstr>
      <vt:lpstr>As Reported BS</vt:lpstr>
      <vt:lpstr>TAP_LTM</vt:lpstr>
      <vt:lpstr>'Cash Flow'!Print_Titles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Tupy, George</dc:creator>
  <cp:lastModifiedBy>Tupy, George</cp:lastModifiedBy>
  <dcterms:created xsi:type="dcterms:W3CDTF">2025-10-06T00:45:44Z</dcterms:created>
  <dcterms:modified xsi:type="dcterms:W3CDTF">2026-01-11T23:44:33Z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0x01010044C84175E17BC64FA93D9D74A2ADD37C</vt:lpwstr>
  </property>
</Properties>
</file>