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codeName="ThisWorkbook"/>
  <mc:AlternateContent xmlns:mc="http://schemas.openxmlformats.org/markup-compatibility/2006">
    <mc:Choice Requires="x15">
      <x15ac:absPath xmlns:x15ac="http://schemas.microsoft.com/office/spreadsheetml/2010/11/ac" url="/Users/georgetupy/Desktop/"/>
    </mc:Choice>
  </mc:AlternateContent>
  <xr:revisionPtr revIDLastSave="0" documentId="13_ncr:1_{C6939D97-C692-644E-9D42-1EECAB16B49D}" xr6:coauthVersionLast="47" xr6:coauthVersionMax="47" xr10:uidLastSave="{00000000-0000-0000-0000-000000000000}"/>
  <bookViews>
    <workbookView xWindow="0" yWindow="620" windowWidth="28800" windowHeight="15940" xr2:uid="{33CBBEC4-0BA1-7242-B9C4-67FDF30CA4D6}"/>
  </bookViews>
  <sheets>
    <sheet name="Title" sheetId="28" r:id="rId1"/>
    <sheet name="Ratio Analysis" sheetId="29" r:id="rId2"/>
    <sheet name="TAP_DCF" sheetId="12" state="hidden" r:id="rId3"/>
    <sheet name="Possible_Comps" sheetId="23" state="hidden" r:id="rId4"/>
    <sheet name="Selecting_Comps" sheetId="24" state="hidden" r:id="rId5"/>
    <sheet name="TAP_Comps" sheetId="25" state="hidden" r:id="rId6"/>
    <sheet name="Relative Valuation Chart" sheetId="27" state="hidden" r:id="rId7"/>
    <sheet name="TAP Football Field" sheetId="26" state="hidden" r:id="rId8"/>
    <sheet name="Income Statement" sheetId="6" r:id="rId9"/>
    <sheet name="Balance Sheet" sheetId="5" r:id="rId10"/>
    <sheet name="Cash Flow" sheetId="13" r:id="rId11"/>
    <sheet name="As Reported IS" sheetId="20" state="hidden" r:id="rId12"/>
    <sheet name="As Reported BS" sheetId="19" r:id="rId13"/>
    <sheet name="CS Income Statement" sheetId="2" r:id="rId14"/>
    <sheet name="CS Balance Sheet" sheetId="4" r:id="rId15"/>
    <sheet name="Coors Ratios" sheetId="11" r:id="rId16"/>
    <sheet name="Heineken Ratios" sheetId="7" r:id="rId17"/>
    <sheet name="Constellation Brands Ratios" sheetId="8" r:id="rId18"/>
    <sheet name="Boston Beer Ratios" sheetId="9" r:id="rId19"/>
    <sheet name="Busch Ratios" sheetId="21" r:id="rId20"/>
  </sheets>
  <externalReferences>
    <externalReference r:id="rId21"/>
    <externalReference r:id="rId22"/>
  </externalReferences>
  <definedNames>
    <definedName name="_xlnm._FilterDatabase" localSheetId="2" hidden="1">TAP_DCF!#REF!</definedName>
    <definedName name="AXL_Debt" localSheetId="3">[1]AXL_BS!$B$65</definedName>
    <definedName name="AXL_Debt" localSheetId="4">[1]AXL_BS!$B$65</definedName>
    <definedName name="AXL_Debt">[1]AXL_BS!$B$65</definedName>
    <definedName name="BEA_Debt">#REF!</definedName>
    <definedName name="BWA_Debt" localSheetId="3">[1]BWA_BS!$B$111</definedName>
    <definedName name="BWA_Debt" localSheetId="4">[1]BWA_BS!$B$111</definedName>
    <definedName name="BWA_Debt">[1]BWA_BS!$B$111</definedName>
    <definedName name="CIQWBGuid" hidden="1">"d0998759-8ba7-4210-8fa6-7a4a90d99731"</definedName>
    <definedName name="DAN_Debt" localSheetId="3">[1]DAN_BS!$B$94</definedName>
    <definedName name="DAN_Debt" localSheetId="4">[1]DAN_BS!$B$94</definedName>
    <definedName name="DAN_Debt">[1]DAN_BS!$B$94</definedName>
    <definedName name="GNTX_NCI" localSheetId="3">[1]GNTX_LTM!$E$13</definedName>
    <definedName name="GNTX_NCI" localSheetId="4">[1]GNTX_LTM!$E$13</definedName>
    <definedName name="GNTX_NCI">[1]GNTX_LTM!$E$13</definedName>
    <definedName name="GNTX_Net_Debt" localSheetId="3">[1]GNTX_LTM!$E$11</definedName>
    <definedName name="GNTX_Net_Debt" localSheetId="4">[1]GNTX_LTM!$E$11</definedName>
    <definedName name="GNTX_Net_Debt">[1]GNTX_LTM!$E$11</definedName>
    <definedName name="GNTX_PS" localSheetId="3">[1]GNTX_LTM!$E$12</definedName>
    <definedName name="GNTX_PS" localSheetId="4">[1]GNTX_LTM!$E$12</definedName>
    <definedName name="GNTX_PS">[1]GNTX_LTM!$E$12</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localSheetId="5" hidden="1">42765.9361458333</definedName>
    <definedName name="IQ_NAMES_REVISION_DATE_" hidden="1">43011.9007060185</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Krispy_Cash_LQ" localSheetId="3">[2]KKD_BS_LQ!$B$3</definedName>
    <definedName name="Krispy_Cash_LQ" localSheetId="4">[2]KKD_BS_LQ!$B$3</definedName>
    <definedName name="Krispy_Cash_LQ">[2]KKD_BS_LQ!$B$3</definedName>
    <definedName name="Krispy_EBITDA_LTM" localSheetId="3">[2]KKD_LTM!$E$6</definedName>
    <definedName name="Krispy_EBITDA_LTM" localSheetId="4">[2]KKD_LTM!$E$6</definedName>
    <definedName name="Krispy_EBITDA_LTM">[2]KKD_LTM!$E$6</definedName>
    <definedName name="LEA_Debt" localSheetId="3">[1]LEA_BS!$B$58</definedName>
    <definedName name="LEA_Debt" localSheetId="4">[1]LEA_BS!$B$58</definedName>
    <definedName name="LEA_Debt">[1]LEA_BS!$B$58</definedName>
    <definedName name="_xlnm.Print_Titles" localSheetId="12">'As Reported BS'!#REF!</definedName>
    <definedName name="_xlnm.Print_Titles" localSheetId="11">'As Reported IS'!#REF!</definedName>
    <definedName name="_xlnm.Print_Titles" localSheetId="9">'Balance Sheet'!#REF!</definedName>
    <definedName name="_xlnm.Print_Titles" localSheetId="18">'Boston Beer Ratios'!$1:$3</definedName>
    <definedName name="_xlnm.Print_Titles" localSheetId="19">'Busch Ratios'!$1:$3</definedName>
    <definedName name="_xlnm.Print_Titles" localSheetId="10">'Cash Flow'!$1:$3</definedName>
    <definedName name="_xlnm.Print_Titles" localSheetId="17">'Constellation Brands Ratios'!$1:$3</definedName>
    <definedName name="_xlnm.Print_Titles" localSheetId="15">'Coors Ratios'!$1:$3</definedName>
    <definedName name="_xlnm.Print_Titles" localSheetId="14">'CS Balance Sheet'!#REF!</definedName>
    <definedName name="_xlnm.Print_Titles" localSheetId="13">'CS Income Statement'!#REF!</definedName>
    <definedName name="_xlnm.Print_Titles" localSheetId="16">'Heineken Ratios'!$1:$3</definedName>
    <definedName name="_xlnm.Print_Titles" localSheetId="8">'Income Statement'!#REF!</definedName>
    <definedName name="TAP_LTM">#REF!</definedName>
    <definedName name="THRM_Debt" localSheetId="3">[1]THRM_BS!$B$78</definedName>
    <definedName name="THRM_Debt" localSheetId="4">[1]THRM_BS!$B$78</definedName>
    <definedName name="THRM_Debt">[1]THRM_BS!$B$78</definedName>
    <definedName name="VC_Debt" localSheetId="3">[1]VC_BS!$B$109</definedName>
    <definedName name="VC_Debt" localSheetId="4">[1]VC_BS!$B$109</definedName>
    <definedName name="VC_Debt">[1]VC_BS!$B$109</definedName>
  </definedName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29" l="1"/>
  <c r="C4" i="29"/>
  <c r="D4" i="29"/>
  <c r="E4" i="29"/>
  <c r="F4" i="29"/>
  <c r="B5" i="29"/>
  <c r="C5" i="29"/>
  <c r="D5" i="29"/>
  <c r="E5" i="29"/>
  <c r="F5" i="29"/>
  <c r="B8" i="29"/>
  <c r="C8" i="29"/>
  <c r="D8" i="29"/>
  <c r="E8" i="29"/>
  <c r="F8" i="29"/>
  <c r="B9" i="29"/>
  <c r="C9" i="29"/>
  <c r="D9" i="29"/>
  <c r="E9" i="29"/>
  <c r="F9" i="29"/>
  <c r="B10" i="29"/>
  <c r="C10" i="29"/>
  <c r="D10" i="29"/>
  <c r="D23" i="29" s="1"/>
  <c r="E10" i="29"/>
  <c r="E23" i="29" s="1"/>
  <c r="E25" i="29" s="1"/>
  <c r="F10" i="29"/>
  <c r="F23" i="29" s="1"/>
  <c r="B13" i="29"/>
  <c r="C13" i="29"/>
  <c r="D13" i="29"/>
  <c r="E13" i="29"/>
  <c r="F13" i="29"/>
  <c r="B14" i="29"/>
  <c r="C14" i="29"/>
  <c r="D14" i="29"/>
  <c r="E14" i="29"/>
  <c r="F14" i="29"/>
  <c r="B17" i="29"/>
  <c r="C17" i="29"/>
  <c r="D17" i="29"/>
  <c r="E17" i="29"/>
  <c r="F17" i="29"/>
  <c r="G17" i="29"/>
  <c r="B18" i="29"/>
  <c r="C18" i="29"/>
  <c r="D18" i="29"/>
  <c r="E18" i="29"/>
  <c r="F18" i="29"/>
  <c r="B19" i="29"/>
  <c r="C19" i="29"/>
  <c r="D19" i="29"/>
  <c r="E19" i="29"/>
  <c r="F19" i="29"/>
  <c r="B20" i="29"/>
  <c r="C20" i="29"/>
  <c r="D20" i="29"/>
  <c r="E20" i="29"/>
  <c r="F20" i="29"/>
  <c r="B22" i="29"/>
  <c r="B25" i="29" s="1"/>
  <c r="C22" i="29"/>
  <c r="C25" i="29" s="1"/>
  <c r="D22" i="29"/>
  <c r="E22" i="29"/>
  <c r="F22" i="29"/>
  <c r="F25" i="29" s="1"/>
  <c r="B23" i="29"/>
  <c r="C23" i="29"/>
  <c r="B24" i="29"/>
  <c r="C24" i="29"/>
  <c r="D24" i="29"/>
  <c r="E24" i="29"/>
  <c r="F24" i="29"/>
  <c r="B29" i="29"/>
  <c r="G4" i="29" s="1"/>
  <c r="B30" i="29"/>
  <c r="G5" i="29" s="1"/>
  <c r="B31" i="29"/>
  <c r="G8" i="29" s="1"/>
  <c r="B32" i="29"/>
  <c r="B33" i="29"/>
  <c r="G10" i="29" s="1"/>
  <c r="B34" i="29"/>
  <c r="G13" i="29" s="1"/>
  <c r="B35" i="29"/>
  <c r="G14" i="29" s="1"/>
  <c r="B36" i="29"/>
  <c r="B37" i="29"/>
  <c r="G18" i="29" s="1"/>
  <c r="B38" i="29"/>
  <c r="G19" i="29" s="1"/>
  <c r="B39" i="29"/>
  <c r="G20" i="29" s="1"/>
  <c r="B43" i="29"/>
  <c r="B44" i="29"/>
  <c r="B45" i="29"/>
  <c r="B46" i="29"/>
  <c r="B47" i="29"/>
  <c r="B48" i="29"/>
  <c r="B49" i="29"/>
  <c r="B50" i="29"/>
  <c r="B51" i="29"/>
  <c r="B52" i="29"/>
  <c r="B53" i="29"/>
  <c r="B57" i="29"/>
  <c r="B58" i="29"/>
  <c r="B59" i="29"/>
  <c r="B60" i="29"/>
  <c r="G9" i="29" s="1"/>
  <c r="B61" i="29"/>
  <c r="B62" i="29"/>
  <c r="B63" i="29"/>
  <c r="B64" i="29"/>
  <c r="B65" i="29"/>
  <c r="B66" i="29"/>
  <c r="B67" i="29"/>
  <c r="B71" i="29"/>
  <c r="B72" i="29"/>
  <c r="B73" i="29"/>
  <c r="B74" i="29"/>
  <c r="B75" i="29"/>
  <c r="B76" i="29"/>
  <c r="B77" i="29"/>
  <c r="B78" i="29"/>
  <c r="B79" i="29"/>
  <c r="B80" i="29"/>
  <c r="B81" i="29"/>
  <c r="F41" i="25"/>
  <c r="G31" i="25"/>
  <c r="I89" i="12"/>
  <c r="I90" i="12" s="1"/>
  <c r="H51" i="12"/>
  <c r="F100" i="12"/>
  <c r="F110" i="12"/>
  <c r="D133" i="12"/>
  <c r="I126" i="12"/>
  <c r="I12" i="26"/>
  <c r="H12" i="26"/>
  <c r="B12" i="26" s="1"/>
  <c r="I11" i="26"/>
  <c r="H11" i="26"/>
  <c r="E13" i="26"/>
  <c r="F11" i="26"/>
  <c r="D11" i="26"/>
  <c r="M14" i="27"/>
  <c r="M13" i="27"/>
  <c r="K14" i="27"/>
  <c r="J14" i="27"/>
  <c r="K13" i="27"/>
  <c r="J13" i="27"/>
  <c r="K12" i="27"/>
  <c r="J12" i="27"/>
  <c r="K11" i="27"/>
  <c r="J11" i="27"/>
  <c r="G15" i="27"/>
  <c r="H14" i="27"/>
  <c r="F14" i="27"/>
  <c r="G14" i="27"/>
  <c r="G13" i="27"/>
  <c r="H13" i="27"/>
  <c r="F13" i="27"/>
  <c r="B14" i="27"/>
  <c r="B13" i="27"/>
  <c r="B12" i="27"/>
  <c r="B11" i="27"/>
  <c r="B9" i="27"/>
  <c r="M15" i="27"/>
  <c r="M12" i="27"/>
  <c r="H12" i="27"/>
  <c r="F12" i="27"/>
  <c r="M11" i="27"/>
  <c r="M10" i="27"/>
  <c r="K10" i="27"/>
  <c r="J10" i="27"/>
  <c r="B10" i="27" s="1"/>
  <c r="H10" i="27"/>
  <c r="F10" i="27"/>
  <c r="M9" i="27"/>
  <c r="K9" i="27"/>
  <c r="J9" i="27"/>
  <c r="B11" i="26"/>
  <c r="D12" i="26"/>
  <c r="F12" i="26"/>
  <c r="L158" i="12"/>
  <c r="M158" i="12" s="1"/>
  <c r="K158" i="12"/>
  <c r="H158" i="12"/>
  <c r="G158" i="12" s="1"/>
  <c r="F158" i="12" s="1"/>
  <c r="E158" i="12" s="1"/>
  <c r="D158" i="12" s="1"/>
  <c r="C158" i="12" s="1"/>
  <c r="I158" i="12"/>
  <c r="I10" i="26"/>
  <c r="H10" i="26"/>
  <c r="B10" i="26" s="1"/>
  <c r="I9" i="26"/>
  <c r="H9" i="26"/>
  <c r="B9" i="26" s="1"/>
  <c r="F10" i="26"/>
  <c r="D10" i="26"/>
  <c r="E10" i="26" s="1"/>
  <c r="D25" i="29" l="1"/>
  <c r="E12" i="26"/>
  <c r="E11" i="26"/>
  <c r="G10" i="27"/>
  <c r="G12" i="27"/>
  <c r="G36" i="25"/>
  <c r="F36" i="25" s="1"/>
  <c r="D36" i="25" s="1"/>
  <c r="H11" i="27" s="1"/>
  <c r="F42" i="25"/>
  <c r="D41" i="25"/>
  <c r="D40" i="25"/>
  <c r="D39" i="25"/>
  <c r="D38" i="25"/>
  <c r="D37" i="25"/>
  <c r="G35" i="25"/>
  <c r="F35" i="25" s="1"/>
  <c r="G34" i="25"/>
  <c r="F34" i="25" s="1"/>
  <c r="G33" i="25"/>
  <c r="F33" i="25" s="1"/>
  <c r="G32" i="25"/>
  <c r="F32" i="25" s="1"/>
  <c r="F31" i="25"/>
  <c r="D42" i="25" l="1"/>
  <c r="P42" i="25"/>
  <c r="P41" i="25"/>
  <c r="N38" i="25"/>
  <c r="N37" i="25"/>
  <c r="I34" i="25"/>
  <c r="I33" i="25"/>
  <c r="H32" i="25"/>
  <c r="H31" i="25"/>
  <c r="O40" i="25"/>
  <c r="O39" i="25"/>
  <c r="J36" i="25"/>
  <c r="D32" i="25"/>
  <c r="D33" i="25"/>
  <c r="D34" i="25"/>
  <c r="D35" i="25"/>
  <c r="F11" i="27" s="1"/>
  <c r="G11" i="27" s="1"/>
  <c r="F9" i="26" l="1"/>
  <c r="H9" i="27"/>
  <c r="I27" i="25"/>
  <c r="J27" i="25"/>
  <c r="N27" i="25"/>
  <c r="O27" i="25"/>
  <c r="P27" i="25"/>
  <c r="H27" i="25"/>
  <c r="I26" i="25"/>
  <c r="J26" i="25"/>
  <c r="N26" i="25"/>
  <c r="O26" i="25"/>
  <c r="P26" i="25"/>
  <c r="H26" i="25"/>
  <c r="I25" i="25"/>
  <c r="J25" i="25"/>
  <c r="N25" i="25"/>
  <c r="O25" i="25"/>
  <c r="P25" i="25"/>
  <c r="H25" i="25"/>
  <c r="I24" i="25"/>
  <c r="J24" i="25"/>
  <c r="N24" i="25"/>
  <c r="O24" i="25"/>
  <c r="P24" i="25"/>
  <c r="H24" i="25"/>
  <c r="O12" i="25" l="1"/>
  <c r="O13" i="25"/>
  <c r="O14" i="25"/>
  <c r="O15" i="25"/>
  <c r="O16" i="25"/>
  <c r="O17" i="25"/>
  <c r="O10" i="25"/>
  <c r="N12" i="25"/>
  <c r="N13" i="25"/>
  <c r="N14" i="25"/>
  <c r="N15" i="25"/>
  <c r="N16" i="25"/>
  <c r="N17" i="25"/>
  <c r="N10" i="25"/>
  <c r="P10" i="25"/>
  <c r="P12" i="25"/>
  <c r="P13" i="25"/>
  <c r="P14" i="25"/>
  <c r="P15" i="25"/>
  <c r="P16" i="25"/>
  <c r="P17" i="25"/>
  <c r="C11" i="19" l="1"/>
  <c r="D11" i="19" s="1"/>
  <c r="E11" i="19" s="1"/>
  <c r="F11" i="19" s="1"/>
  <c r="C11" i="20"/>
  <c r="D11" i="20" s="1"/>
  <c r="E11" i="20" s="1"/>
  <c r="F11" i="20" s="1"/>
  <c r="F18" i="12" l="1"/>
  <c r="I145" i="12" l="1"/>
  <c r="J145" i="12" s="1"/>
  <c r="K145" i="12" s="1"/>
  <c r="L145" i="12" s="1"/>
  <c r="G145" i="12"/>
  <c r="F145" i="12" s="1"/>
  <c r="E145" i="12" s="1"/>
  <c r="D145" i="12" s="1"/>
  <c r="C147" i="12"/>
  <c r="C148" i="12" s="1"/>
  <c r="C149" i="12" s="1"/>
  <c r="C150" i="12" s="1"/>
  <c r="C151" i="12" s="1"/>
  <c r="C152" i="12" s="1"/>
  <c r="C153" i="12" s="1"/>
  <c r="N92" i="12"/>
  <c r="N87" i="12" l="1"/>
  <c r="N86" i="12"/>
  <c r="N85" i="12"/>
  <c r="N93" i="12" s="1"/>
  <c r="S50" i="12" s="1"/>
  <c r="N90" i="12" l="1"/>
  <c r="S51" i="12" s="1"/>
  <c r="N51" i="12"/>
  <c r="G130" i="12"/>
  <c r="G129" i="12"/>
  <c r="G128" i="12"/>
  <c r="G127" i="12"/>
  <c r="G126" i="12"/>
  <c r="K130" i="12" l="1"/>
  <c r="I130" i="12" s="1"/>
  <c r="K129" i="12"/>
  <c r="I129" i="12" s="1"/>
  <c r="K128" i="12"/>
  <c r="I128" i="12" s="1"/>
  <c r="K127" i="12"/>
  <c r="I127" i="12" s="1"/>
  <c r="F111" i="12"/>
  <c r="F17" i="12" l="1"/>
  <c r="F24" i="12" l="1"/>
  <c r="F23" i="12"/>
  <c r="F14" i="12"/>
  <c r="F35" i="12" s="1"/>
  <c r="C11" i="5"/>
  <c r="D11" i="5" s="1"/>
  <c r="E11" i="5" s="1"/>
  <c r="F11" i="5" s="1"/>
  <c r="C15" i="13"/>
  <c r="D15" i="13" s="1"/>
  <c r="E15" i="13" s="1"/>
  <c r="F15" i="13" s="1"/>
  <c r="F34" i="12" l="1"/>
  <c r="F37" i="12"/>
  <c r="F36" i="12"/>
  <c r="C11" i="6" l="1"/>
  <c r="B7" i="12"/>
  <c r="G13" i="12"/>
  <c r="G18" i="12" s="1"/>
  <c r="F30" i="12"/>
  <c r="G30" i="12" s="1"/>
  <c r="H30" i="12" s="1"/>
  <c r="I30" i="12" s="1"/>
  <c r="J30" i="12" s="1"/>
  <c r="K30" i="12" s="1"/>
  <c r="L30" i="12" s="1"/>
  <c r="M30" i="12" s="1"/>
  <c r="N30" i="12" s="1"/>
  <c r="O30" i="12" s="1"/>
  <c r="F62" i="12"/>
  <c r="I88" i="12"/>
  <c r="F101" i="12"/>
  <c r="B135" i="12"/>
  <c r="B136" i="12"/>
  <c r="B137" i="12"/>
  <c r="F68" i="12" l="1"/>
  <c r="F63" i="12"/>
  <c r="S33" i="12"/>
  <c r="S35" i="12"/>
  <c r="L35" i="12" s="1"/>
  <c r="I91" i="12"/>
  <c r="I93" i="12" s="1"/>
  <c r="S32" i="12"/>
  <c r="S37" i="12"/>
  <c r="S36" i="12"/>
  <c r="S34" i="12"/>
  <c r="F77" i="12"/>
  <c r="G77" i="12" s="1"/>
  <c r="H77" i="12" s="1"/>
  <c r="I77" i="12" s="1"/>
  <c r="J77" i="12" s="1"/>
  <c r="K77" i="12" s="1"/>
  <c r="L77" i="12" s="1"/>
  <c r="M77" i="12" s="1"/>
  <c r="N77" i="12" s="1"/>
  <c r="O77" i="12" s="1"/>
  <c r="S78" i="12" s="1"/>
  <c r="L78" i="12" s="1"/>
  <c r="M78" i="12" s="1"/>
  <c r="N78" i="12" s="1"/>
  <c r="O78" i="12" s="1"/>
  <c r="F64" i="12"/>
  <c r="F69" i="12"/>
  <c r="F67" i="12"/>
  <c r="G24" i="12"/>
  <c r="G23" i="12"/>
  <c r="F15" i="12"/>
  <c r="D11" i="6"/>
  <c r="E11" i="6" s="1"/>
  <c r="F11" i="6" s="1"/>
  <c r="H13" i="12"/>
  <c r="H18" i="12" s="1"/>
  <c r="G15" i="12"/>
  <c r="G62" i="12"/>
  <c r="G68" i="12" s="1"/>
  <c r="M35" i="12" l="1"/>
  <c r="L34" i="12"/>
  <c r="F102" i="12"/>
  <c r="F103" i="12" s="1"/>
  <c r="E31" i="25"/>
  <c r="D31" i="25" s="1"/>
  <c r="L32" i="12"/>
  <c r="N53" i="12"/>
  <c r="H53" i="12"/>
  <c r="G36" i="12"/>
  <c r="F70" i="12"/>
  <c r="F33" i="12"/>
  <c r="F16" i="12"/>
  <c r="F19" i="12" s="1"/>
  <c r="F20" i="12" s="1"/>
  <c r="H62" i="12"/>
  <c r="H68" i="12" s="1"/>
  <c r="G67" i="12"/>
  <c r="G64" i="12"/>
  <c r="G69" i="12"/>
  <c r="G63" i="12"/>
  <c r="F65" i="12"/>
  <c r="F72" i="12" s="1"/>
  <c r="H24" i="12"/>
  <c r="H23" i="12"/>
  <c r="G14" i="12"/>
  <c r="G35" i="12" s="1"/>
  <c r="H17" i="12"/>
  <c r="G17" i="12"/>
  <c r="I13" i="12"/>
  <c r="I18" i="12" s="1"/>
  <c r="H14" i="12"/>
  <c r="H35" i="12" s="1"/>
  <c r="H15" i="12"/>
  <c r="D9" i="26" l="1"/>
  <c r="E9" i="26" s="1"/>
  <c r="F9" i="27"/>
  <c r="G9" i="27" s="1"/>
  <c r="F106" i="12"/>
  <c r="D135" i="12"/>
  <c r="D137" i="12" s="1"/>
  <c r="F116" i="12" s="1"/>
  <c r="F117" i="12" s="1"/>
  <c r="N35" i="12"/>
  <c r="F105" i="12"/>
  <c r="F78" i="12"/>
  <c r="G65" i="12"/>
  <c r="H16" i="12"/>
  <c r="G32" i="12"/>
  <c r="G16" i="12"/>
  <c r="G70" i="12"/>
  <c r="F38" i="12"/>
  <c r="F21" i="12"/>
  <c r="F26" i="12" s="1"/>
  <c r="H38" i="12"/>
  <c r="H33" i="12"/>
  <c r="H36" i="12"/>
  <c r="I62" i="12"/>
  <c r="I68" i="12" s="1"/>
  <c r="H69" i="12"/>
  <c r="H67" i="12"/>
  <c r="H63" i="12"/>
  <c r="H64" i="12"/>
  <c r="H32" i="12"/>
  <c r="I24" i="12"/>
  <c r="I23" i="12"/>
  <c r="G37" i="12"/>
  <c r="H37" i="12"/>
  <c r="G34" i="12"/>
  <c r="G33" i="12"/>
  <c r="H34" i="12"/>
  <c r="I14" i="12"/>
  <c r="I35" i="12" s="1"/>
  <c r="I17" i="12"/>
  <c r="J13" i="12"/>
  <c r="I15" i="12"/>
  <c r="F119" i="12" l="1"/>
  <c r="N46" i="12" s="1"/>
  <c r="N49" i="12" s="1"/>
  <c r="J18" i="12"/>
  <c r="J24" i="12"/>
  <c r="O35" i="12"/>
  <c r="G19" i="12"/>
  <c r="G20" i="12" s="1"/>
  <c r="G21" i="12" s="1"/>
  <c r="H19" i="12"/>
  <c r="H20" i="12" s="1"/>
  <c r="G72" i="12"/>
  <c r="G73" i="12" s="1"/>
  <c r="G25" i="12" s="1"/>
  <c r="G26" i="12" s="1"/>
  <c r="H70" i="12"/>
  <c r="I32" i="12"/>
  <c r="I16" i="12"/>
  <c r="G38" i="12"/>
  <c r="I34" i="12"/>
  <c r="J62" i="12"/>
  <c r="J68" i="12" s="1"/>
  <c r="I63" i="12"/>
  <c r="I69" i="12"/>
  <c r="I67" i="12"/>
  <c r="I64" i="12"/>
  <c r="H65" i="12"/>
  <c r="I36" i="12"/>
  <c r="J23" i="12"/>
  <c r="I37" i="12"/>
  <c r="I33" i="12"/>
  <c r="J14" i="12"/>
  <c r="J17" i="12"/>
  <c r="J15" i="12"/>
  <c r="K13" i="12"/>
  <c r="L13" i="12" s="1"/>
  <c r="M13" i="12" s="1"/>
  <c r="N13" i="12" s="1"/>
  <c r="O13" i="12" s="1"/>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G63" i="2"/>
  <c r="G64" i="2"/>
  <c r="G65" i="2"/>
  <c r="G66" i="2"/>
  <c r="G67" i="2"/>
  <c r="G68" i="2"/>
  <c r="G69" i="2"/>
  <c r="G70" i="2"/>
  <c r="G71" i="2"/>
  <c r="G72" i="2"/>
  <c r="G73" i="2"/>
  <c r="G74" i="2"/>
  <c r="G75" i="2"/>
  <c r="G76" i="2"/>
  <c r="G77" i="2"/>
  <c r="G78" i="2"/>
  <c r="G79" i="2"/>
  <c r="G80" i="2"/>
  <c r="G81" i="2"/>
  <c r="G82" i="2"/>
  <c r="G83" i="2"/>
  <c r="G84" i="2"/>
  <c r="G85" i="2"/>
  <c r="G86" i="2"/>
  <c r="G87" i="2"/>
  <c r="G88" i="2"/>
  <c r="G89" i="2"/>
  <c r="G90" i="2"/>
  <c r="G91" i="2"/>
  <c r="G92" i="2"/>
  <c r="G93" i="2"/>
  <c r="G94" i="2"/>
  <c r="I63" i="2"/>
  <c r="I64" i="2"/>
  <c r="I65" i="2"/>
  <c r="I66" i="2"/>
  <c r="I67" i="2"/>
  <c r="I68" i="2"/>
  <c r="I69" i="2"/>
  <c r="I70" i="2"/>
  <c r="I71" i="2"/>
  <c r="I72" i="2"/>
  <c r="I73" i="2"/>
  <c r="I74" i="2"/>
  <c r="I75" i="2"/>
  <c r="I76" i="2"/>
  <c r="I77" i="2"/>
  <c r="I78" i="2"/>
  <c r="I79" i="2"/>
  <c r="I80" i="2"/>
  <c r="I81" i="2"/>
  <c r="I82" i="2"/>
  <c r="I83" i="2"/>
  <c r="I84" i="2"/>
  <c r="I85" i="2"/>
  <c r="I86" i="2"/>
  <c r="I87" i="2"/>
  <c r="I88" i="2"/>
  <c r="I89" i="2"/>
  <c r="I90" i="2"/>
  <c r="I91" i="2"/>
  <c r="I92" i="2"/>
  <c r="I93" i="2"/>
  <c r="I94" i="2"/>
  <c r="K63" i="2"/>
  <c r="K64" i="2"/>
  <c r="K65" i="2"/>
  <c r="K66" i="2"/>
  <c r="K67" i="2"/>
  <c r="K68" i="2"/>
  <c r="K69" i="2"/>
  <c r="K70" i="2"/>
  <c r="K71" i="2"/>
  <c r="K72" i="2"/>
  <c r="K73" i="2"/>
  <c r="K74" i="2"/>
  <c r="K75" i="2"/>
  <c r="K76" i="2"/>
  <c r="K77" i="2"/>
  <c r="K78" i="2"/>
  <c r="K79" i="2"/>
  <c r="K80" i="2"/>
  <c r="K81" i="2"/>
  <c r="K82" i="2"/>
  <c r="K83" i="2"/>
  <c r="K84" i="2"/>
  <c r="K85" i="2"/>
  <c r="K86" i="2"/>
  <c r="K87" i="2"/>
  <c r="K88" i="2"/>
  <c r="K89" i="2"/>
  <c r="K90" i="2"/>
  <c r="K91" i="2"/>
  <c r="K92" i="2"/>
  <c r="K93" i="2"/>
  <c r="K94" i="2"/>
  <c r="M63" i="2"/>
  <c r="M64" i="2"/>
  <c r="M65" i="2"/>
  <c r="M66" i="2"/>
  <c r="M67" i="2"/>
  <c r="M68" i="2"/>
  <c r="M69" i="2"/>
  <c r="M70" i="2"/>
  <c r="M71" i="2"/>
  <c r="M72" i="2"/>
  <c r="M73" i="2"/>
  <c r="M74" i="2"/>
  <c r="M75" i="2"/>
  <c r="M76" i="2"/>
  <c r="M77" i="2"/>
  <c r="M78" i="2"/>
  <c r="M79" i="2"/>
  <c r="M80" i="2"/>
  <c r="M81" i="2"/>
  <c r="M82" i="2"/>
  <c r="M83" i="2"/>
  <c r="M84" i="2"/>
  <c r="M85" i="2"/>
  <c r="M86" i="2"/>
  <c r="M87" i="2"/>
  <c r="M88" i="2"/>
  <c r="M89" i="2"/>
  <c r="M90" i="2"/>
  <c r="M91" i="2"/>
  <c r="M92" i="2"/>
  <c r="M93" i="2"/>
  <c r="M94" i="2"/>
  <c r="K15" i="4"/>
  <c r="K16" i="4"/>
  <c r="K17" i="4"/>
  <c r="K18" i="4"/>
  <c r="K19" i="4"/>
  <c r="K20" i="4"/>
  <c r="K21" i="4"/>
  <c r="K22" i="4"/>
  <c r="K23" i="4"/>
  <c r="K24" i="4"/>
  <c r="K25" i="4"/>
  <c r="K26" i="4"/>
  <c r="K27" i="4"/>
  <c r="K28" i="4"/>
  <c r="K29" i="4"/>
  <c r="K30" i="4"/>
  <c r="K31" i="4"/>
  <c r="K32" i="4"/>
  <c r="K33" i="4"/>
  <c r="K34" i="4"/>
  <c r="K35" i="4"/>
  <c r="K36" i="4"/>
  <c r="K37" i="4"/>
  <c r="K38" i="4"/>
  <c r="K39" i="4"/>
  <c r="K40" i="4"/>
  <c r="K41" i="4"/>
  <c r="K42" i="4"/>
  <c r="K43" i="4"/>
  <c r="K44" i="4"/>
  <c r="K45" i="4"/>
  <c r="K46" i="4"/>
  <c r="K47" i="4"/>
  <c r="K48" i="4"/>
  <c r="K49" i="4"/>
  <c r="K50" i="4"/>
  <c r="K51" i="4"/>
  <c r="K52" i="4"/>
  <c r="K53" i="4"/>
  <c r="K54" i="4"/>
  <c r="I15" i="4"/>
  <c r="I16" i="4"/>
  <c r="I17" i="4"/>
  <c r="I18" i="4"/>
  <c r="I19" i="4"/>
  <c r="I20" i="4"/>
  <c r="I21" i="4"/>
  <c r="I22" i="4"/>
  <c r="I23" i="4"/>
  <c r="I24" i="4"/>
  <c r="I25" i="4"/>
  <c r="I26" i="4"/>
  <c r="I27" i="4"/>
  <c r="I28" i="4"/>
  <c r="I29" i="4"/>
  <c r="I30" i="4"/>
  <c r="I31" i="4"/>
  <c r="I32" i="4"/>
  <c r="I33" i="4"/>
  <c r="I34" i="4"/>
  <c r="I35" i="4"/>
  <c r="I36" i="4"/>
  <c r="I37" i="4"/>
  <c r="I38" i="4"/>
  <c r="I39" i="4"/>
  <c r="I40" i="4"/>
  <c r="I41" i="4"/>
  <c r="I42" i="4"/>
  <c r="I43" i="4"/>
  <c r="I44" i="4"/>
  <c r="I45" i="4"/>
  <c r="I46" i="4"/>
  <c r="I47" i="4"/>
  <c r="I48" i="4"/>
  <c r="I49" i="4"/>
  <c r="I50" i="4"/>
  <c r="I51" i="4"/>
  <c r="I52" i="4"/>
  <c r="I53" i="4"/>
  <c r="I54" i="4"/>
  <c r="G15" i="4"/>
  <c r="G16" i="4"/>
  <c r="G17" i="4"/>
  <c r="G18" i="4"/>
  <c r="G19" i="4"/>
  <c r="G20" i="4"/>
  <c r="G21" i="4"/>
  <c r="G22" i="4"/>
  <c r="G23" i="4"/>
  <c r="G24" i="4"/>
  <c r="G25" i="4"/>
  <c r="G26" i="4"/>
  <c r="G27" i="4"/>
  <c r="G28" i="4"/>
  <c r="G29" i="4"/>
  <c r="G30" i="4"/>
  <c r="G31" i="4"/>
  <c r="G32" i="4"/>
  <c r="G33" i="4"/>
  <c r="G34" i="4"/>
  <c r="G35" i="4"/>
  <c r="G36" i="4"/>
  <c r="G37" i="4"/>
  <c r="G38" i="4"/>
  <c r="G39" i="4"/>
  <c r="G40" i="4"/>
  <c r="G41" i="4"/>
  <c r="G42" i="4"/>
  <c r="G43" i="4"/>
  <c r="G44" i="4"/>
  <c r="G45" i="4"/>
  <c r="G46" i="4"/>
  <c r="G47" i="4"/>
  <c r="G48" i="4"/>
  <c r="G49" i="4"/>
  <c r="G50" i="4"/>
  <c r="G51" i="4"/>
  <c r="G52" i="4"/>
  <c r="G53" i="4"/>
  <c r="G54" i="4"/>
  <c r="E15" i="4"/>
  <c r="E16" i="4"/>
  <c r="E17" i="4"/>
  <c r="E18" i="4"/>
  <c r="E19" i="4"/>
  <c r="E20" i="4"/>
  <c r="E21" i="4"/>
  <c r="E22" i="4"/>
  <c r="E23" i="4"/>
  <c r="E24" i="4"/>
  <c r="E25" i="4"/>
  <c r="E26" i="4"/>
  <c r="E27" i="4"/>
  <c r="E28" i="4"/>
  <c r="E29" i="4"/>
  <c r="E30" i="4"/>
  <c r="E31" i="4"/>
  <c r="E32" i="4"/>
  <c r="E33" i="4"/>
  <c r="E34" i="4"/>
  <c r="E35" i="4"/>
  <c r="E36" i="4"/>
  <c r="E37" i="4"/>
  <c r="E38" i="4"/>
  <c r="E39" i="4"/>
  <c r="E40" i="4"/>
  <c r="E41" i="4"/>
  <c r="E42" i="4"/>
  <c r="E43" i="4"/>
  <c r="E44" i="4"/>
  <c r="E45" i="4"/>
  <c r="E46" i="4"/>
  <c r="E47" i="4"/>
  <c r="E48" i="4"/>
  <c r="E49" i="4"/>
  <c r="E50" i="4"/>
  <c r="E51" i="4"/>
  <c r="E52" i="4"/>
  <c r="E53" i="4"/>
  <c r="E54" i="4"/>
  <c r="K14" i="4"/>
  <c r="I14" i="4"/>
  <c r="G14" i="4"/>
  <c r="E14" i="4"/>
  <c r="C15" i="4"/>
  <c r="C16" i="4"/>
  <c r="C17" i="4"/>
  <c r="C18" i="4"/>
  <c r="C19" i="4"/>
  <c r="C20" i="4"/>
  <c r="C21" i="4"/>
  <c r="C22" i="4"/>
  <c r="C23" i="4"/>
  <c r="C24" i="4"/>
  <c r="C25" i="4"/>
  <c r="C26" i="4"/>
  <c r="C27" i="4"/>
  <c r="C28" i="4"/>
  <c r="C29" i="4"/>
  <c r="C30" i="4"/>
  <c r="C31" i="4"/>
  <c r="C32" i="4"/>
  <c r="C33" i="4"/>
  <c r="C34" i="4"/>
  <c r="C35" i="4"/>
  <c r="C36" i="4"/>
  <c r="C37" i="4"/>
  <c r="C38" i="4"/>
  <c r="C39" i="4"/>
  <c r="C40" i="4"/>
  <c r="C41" i="4"/>
  <c r="C42" i="4"/>
  <c r="C43" i="4"/>
  <c r="C44" i="4"/>
  <c r="C45" i="4"/>
  <c r="C46" i="4"/>
  <c r="C47" i="4"/>
  <c r="C48" i="4"/>
  <c r="C49" i="4"/>
  <c r="C50" i="4"/>
  <c r="C51" i="4"/>
  <c r="C52" i="4"/>
  <c r="C53" i="4"/>
  <c r="C54" i="4"/>
  <c r="C14" i="4"/>
  <c r="H46" i="12" l="1"/>
  <c r="H49" i="12" s="1"/>
  <c r="G78" i="12"/>
  <c r="J35" i="12"/>
  <c r="H21" i="12"/>
  <c r="J34" i="12"/>
  <c r="H72" i="12"/>
  <c r="H73" i="12" s="1"/>
  <c r="H25" i="12" s="1"/>
  <c r="H26" i="12" s="1"/>
  <c r="I19" i="12"/>
  <c r="I20" i="12" s="1"/>
  <c r="I21" i="12" s="1"/>
  <c r="I70" i="12"/>
  <c r="J33" i="12"/>
  <c r="K14" i="12"/>
  <c r="J32" i="12"/>
  <c r="J16" i="12"/>
  <c r="I38" i="12"/>
  <c r="I65" i="12"/>
  <c r="J36" i="12"/>
  <c r="K62" i="12"/>
  <c r="L62" i="12" s="1"/>
  <c r="M62" i="12" s="1"/>
  <c r="N62" i="12" s="1"/>
  <c r="O62" i="12" s="1"/>
  <c r="J69" i="12"/>
  <c r="J63" i="12"/>
  <c r="J64" i="12"/>
  <c r="J67" i="12"/>
  <c r="L33" i="12"/>
  <c r="M33" i="12" s="1"/>
  <c r="L36" i="12"/>
  <c r="M36" i="12" s="1"/>
  <c r="N36" i="12" s="1"/>
  <c r="O36" i="12" s="1"/>
  <c r="M34" i="12"/>
  <c r="N34" i="12" s="1"/>
  <c r="O34" i="12" s="1"/>
  <c r="J37" i="12"/>
  <c r="C56" i="2"/>
  <c r="C15" i="2"/>
  <c r="E15" i="2"/>
  <c r="G15" i="2"/>
  <c r="I15" i="2"/>
  <c r="K15" i="2"/>
  <c r="M15" i="2"/>
  <c r="C14"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7" i="2"/>
  <c r="C58" i="2"/>
  <c r="C59" i="2"/>
  <c r="C60" i="2"/>
  <c r="C61" i="2"/>
  <c r="C62" i="2"/>
  <c r="C13" i="2"/>
  <c r="M14" i="2"/>
  <c r="M16" i="2"/>
  <c r="M17" i="2"/>
  <c r="M18" i="2"/>
  <c r="M19" i="2"/>
  <c r="M20" i="2"/>
  <c r="M21" i="2"/>
  <c r="M22" i="2"/>
  <c r="M23" i="2"/>
  <c r="M24" i="2"/>
  <c r="M25" i="2"/>
  <c r="M26" i="2"/>
  <c r="M27" i="2"/>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60" i="2"/>
  <c r="M61" i="2"/>
  <c r="M62" i="2"/>
  <c r="M13" i="2"/>
  <c r="K14" i="2"/>
  <c r="K16" i="2"/>
  <c r="K17" i="2"/>
  <c r="K18" i="2"/>
  <c r="K19" i="2"/>
  <c r="K20" i="2"/>
  <c r="K21" i="2"/>
  <c r="K22" i="2"/>
  <c r="K23" i="2"/>
  <c r="K24" i="2"/>
  <c r="K25" i="2"/>
  <c r="K26" i="2"/>
  <c r="K27" i="2"/>
  <c r="K28" i="2"/>
  <c r="K29" i="2"/>
  <c r="K30" i="2"/>
  <c r="K31" i="2"/>
  <c r="K32" i="2"/>
  <c r="K33" i="2"/>
  <c r="K34" i="2"/>
  <c r="K35" i="2"/>
  <c r="K36" i="2"/>
  <c r="K37" i="2"/>
  <c r="K38" i="2"/>
  <c r="K39" i="2"/>
  <c r="K40" i="2"/>
  <c r="K41" i="2"/>
  <c r="K42" i="2"/>
  <c r="K43" i="2"/>
  <c r="K44" i="2"/>
  <c r="K45" i="2"/>
  <c r="K46" i="2"/>
  <c r="K47" i="2"/>
  <c r="K48" i="2"/>
  <c r="K49" i="2"/>
  <c r="K50" i="2"/>
  <c r="K51" i="2"/>
  <c r="K52" i="2"/>
  <c r="K53" i="2"/>
  <c r="K54" i="2"/>
  <c r="K55" i="2"/>
  <c r="K56" i="2"/>
  <c r="K57" i="2"/>
  <c r="K58" i="2"/>
  <c r="K59" i="2"/>
  <c r="K60" i="2"/>
  <c r="K61" i="2"/>
  <c r="K62" i="2"/>
  <c r="K13" i="2"/>
  <c r="I14" i="2"/>
  <c r="I16" i="2"/>
  <c r="I17" i="2"/>
  <c r="I18" i="2"/>
  <c r="I19" i="2"/>
  <c r="I20" i="2"/>
  <c r="I21" i="2"/>
  <c r="I22" i="2"/>
  <c r="I23" i="2"/>
  <c r="I24" i="2"/>
  <c r="I25" i="2"/>
  <c r="I26" i="2"/>
  <c r="I27" i="2"/>
  <c r="I28" i="2"/>
  <c r="I29" i="2"/>
  <c r="I30" i="2"/>
  <c r="I31" i="2"/>
  <c r="I32" i="2"/>
  <c r="I33" i="2"/>
  <c r="I34" i="2"/>
  <c r="I35" i="2"/>
  <c r="I36" i="2"/>
  <c r="I37" i="2"/>
  <c r="I38" i="2"/>
  <c r="I39" i="2"/>
  <c r="I40" i="2"/>
  <c r="I41" i="2"/>
  <c r="I42" i="2"/>
  <c r="I43" i="2"/>
  <c r="I44" i="2"/>
  <c r="I45" i="2"/>
  <c r="I46" i="2"/>
  <c r="I47" i="2"/>
  <c r="I48" i="2"/>
  <c r="I49" i="2"/>
  <c r="I50" i="2"/>
  <c r="I51" i="2"/>
  <c r="I52" i="2"/>
  <c r="I53" i="2"/>
  <c r="I54" i="2"/>
  <c r="I55" i="2"/>
  <c r="I56" i="2"/>
  <c r="I57" i="2"/>
  <c r="I58" i="2"/>
  <c r="I59" i="2"/>
  <c r="I60" i="2"/>
  <c r="I61" i="2"/>
  <c r="I62" i="2"/>
  <c r="I13" i="2"/>
  <c r="G14" i="2"/>
  <c r="G16" i="2"/>
  <c r="G17" i="2"/>
  <c r="G18" i="2"/>
  <c r="G19" i="2"/>
  <c r="G20" i="2"/>
  <c r="G21" i="2"/>
  <c r="G22" i="2"/>
  <c r="G23" i="2"/>
  <c r="G24" i="2"/>
  <c r="G25" i="2"/>
  <c r="G26" i="2"/>
  <c r="G27" i="2"/>
  <c r="G28" i="2"/>
  <c r="G29" i="2"/>
  <c r="G30" i="2"/>
  <c r="G31" i="2"/>
  <c r="G32" i="2"/>
  <c r="G33" i="2"/>
  <c r="G34" i="2"/>
  <c r="G35" i="2"/>
  <c r="G36" i="2"/>
  <c r="G37" i="2"/>
  <c r="G38" i="2"/>
  <c r="G39" i="2"/>
  <c r="G40" i="2"/>
  <c r="G41" i="2"/>
  <c r="G42" i="2"/>
  <c r="G43" i="2"/>
  <c r="G44" i="2"/>
  <c r="G45" i="2"/>
  <c r="G46" i="2"/>
  <c r="G47" i="2"/>
  <c r="G48" i="2"/>
  <c r="G49" i="2"/>
  <c r="G50" i="2"/>
  <c r="G51" i="2"/>
  <c r="G52" i="2"/>
  <c r="G53" i="2"/>
  <c r="G54" i="2"/>
  <c r="G55" i="2"/>
  <c r="G56" i="2"/>
  <c r="G57" i="2"/>
  <c r="G58" i="2"/>
  <c r="G59" i="2"/>
  <c r="G60" i="2"/>
  <c r="G61" i="2"/>
  <c r="G62" i="2"/>
  <c r="G13" i="2"/>
  <c r="E14"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13" i="2"/>
  <c r="K24" i="12" l="1"/>
  <c r="K23" i="12" s="1"/>
  <c r="K18" i="12"/>
  <c r="K17" i="12"/>
  <c r="H78" i="12"/>
  <c r="J70" i="12"/>
  <c r="I72" i="12"/>
  <c r="I73" i="12" s="1"/>
  <c r="I25" i="12" s="1"/>
  <c r="I26" i="12" s="1"/>
  <c r="J19" i="12"/>
  <c r="N33" i="12"/>
  <c r="O33" i="12" s="1"/>
  <c r="K72" i="12"/>
  <c r="J38" i="12"/>
  <c r="K15" i="12"/>
  <c r="K16" i="12" s="1"/>
  <c r="M32" i="12"/>
  <c r="N32" i="12" s="1"/>
  <c r="O32" i="12" s="1"/>
  <c r="L14" i="12"/>
  <c r="L18" i="12" s="1"/>
  <c r="J65" i="12"/>
  <c r="J72" i="12" s="1"/>
  <c r="L37" i="12"/>
  <c r="M37" i="12" l="1"/>
  <c r="L24" i="12"/>
  <c r="L23" i="12" s="1"/>
  <c r="I78" i="12"/>
  <c r="J20" i="12"/>
  <c r="J21" i="12" s="1"/>
  <c r="K19" i="12"/>
  <c r="J73" i="12"/>
  <c r="J25" i="12" s="1"/>
  <c r="K73" i="12"/>
  <c r="K25" i="12" s="1"/>
  <c r="K20" i="12"/>
  <c r="L72" i="12"/>
  <c r="L73" i="12" s="1"/>
  <c r="L25" i="12" s="1"/>
  <c r="K38" i="12"/>
  <c r="J78" i="12"/>
  <c r="M14" i="12"/>
  <c r="M18" i="12" s="1"/>
  <c r="L15" i="12"/>
  <c r="L16" i="12" s="1"/>
  <c r="L17" i="12"/>
  <c r="N37" i="12" l="1"/>
  <c r="M24" i="12"/>
  <c r="M23" i="12" s="1"/>
  <c r="L19" i="12"/>
  <c r="L20" i="12" s="1"/>
  <c r="L21" i="12" s="1"/>
  <c r="L26" i="12" s="1"/>
  <c r="J26" i="12"/>
  <c r="K21" i="12"/>
  <c r="K26" i="12" s="1"/>
  <c r="M72" i="12"/>
  <c r="M73" i="12" s="1"/>
  <c r="M25" i="12" s="1"/>
  <c r="L38" i="12"/>
  <c r="M15" i="12"/>
  <c r="M16" i="12" s="1"/>
  <c r="M19" i="12" s="1"/>
  <c r="M17" i="12"/>
  <c r="N14" i="12"/>
  <c r="N18" i="12" s="1"/>
  <c r="O37" i="12" l="1"/>
  <c r="N24" i="12"/>
  <c r="N23" i="12" s="1"/>
  <c r="N72" i="12"/>
  <c r="N73" i="12" s="1"/>
  <c r="N25" i="12" s="1"/>
  <c r="M20" i="12"/>
  <c r="N15" i="12"/>
  <c r="N16" i="12" s="1"/>
  <c r="N17" i="12"/>
  <c r="O14" i="12"/>
  <c r="O18" i="12" s="1"/>
  <c r="M38" i="12"/>
  <c r="O24" i="12" l="1"/>
  <c r="O23" i="12" s="1"/>
  <c r="N19" i="12"/>
  <c r="M21" i="12"/>
  <c r="M26" i="12" s="1"/>
  <c r="O72" i="12"/>
  <c r="O73" i="12" s="1"/>
  <c r="O25" i="12" s="1"/>
  <c r="N20" i="12"/>
  <c r="N38" i="12"/>
  <c r="O15" i="12"/>
  <c r="O16" i="12" s="1"/>
  <c r="O17" i="12"/>
  <c r="O19" i="12" l="1"/>
  <c r="N21" i="12"/>
  <c r="N26" i="12" s="1"/>
  <c r="O38" i="12"/>
  <c r="O20" i="12" l="1"/>
  <c r="O21" i="12" s="1"/>
  <c r="O26" i="12" s="1"/>
  <c r="N43" i="12"/>
  <c r="N45" i="12" s="1"/>
  <c r="N47" i="12" s="1"/>
  <c r="N50" i="12" s="1"/>
  <c r="N52" i="12" s="1"/>
  <c r="H43" i="12" l="1"/>
  <c r="H45" i="12" s="1"/>
  <c r="H47" i="12" s="1"/>
  <c r="H50" i="12" s="1"/>
  <c r="H52" i="12" s="1"/>
  <c r="H54" i="12" l="1"/>
  <c r="C145" i="12" s="1"/>
  <c r="N54" i="12"/>
  <c r="B159" i="12" s="1"/>
  <c r="S49" i="12"/>
  <c r="S52" i="12" s="1"/>
</calcChain>
</file>

<file path=xl/sharedStrings.xml><?xml version="1.0" encoding="utf-8"?>
<sst xmlns="http://schemas.openxmlformats.org/spreadsheetml/2006/main" count="2457" uniqueCount="653">
  <si>
    <t xml:space="preserve">
               </t>
  </si>
  <si>
    <t>Note: For multiple class companies, per share items are primary class equivalent, and for foreign companies listed as primary ADRs, per share items are ADR-equivalent.</t>
  </si>
  <si>
    <t>* Occasionally, certain items classified as Revenue by the company will be re-classified as other income if it is deemed to be non-recurring and unrelated to the core business of the firm. This field shows Total Revenue exactly as reported by the firm on its consolidated statement of income.</t>
  </si>
  <si>
    <t xml:space="preserve">  Stock-Based Comp., Total</t>
  </si>
  <si>
    <t>-</t>
  </si>
  <si>
    <t>Stock-Based Comp., Unallocated</t>
  </si>
  <si>
    <t>Stock-Based Comp., SG&amp;A Exp.</t>
  </si>
  <si>
    <t>Imputed Oper. Lease Depreciation</t>
  </si>
  <si>
    <t>Imputed Oper. Lease Interest Exp.</t>
  </si>
  <si>
    <t>NA</t>
  </si>
  <si>
    <t>Net Rental Exp.</t>
  </si>
  <si>
    <t>Selling and Marketing Exp.</t>
  </si>
  <si>
    <t>Marketing Exp.</t>
  </si>
  <si>
    <t>Supplemental Operating Expense Items</t>
  </si>
  <si>
    <t>REP</t>
  </si>
  <si>
    <t>Calculation Type</t>
  </si>
  <si>
    <t>O</t>
  </si>
  <si>
    <t>NC</t>
  </si>
  <si>
    <t>RC</t>
  </si>
  <si>
    <t>Restatement Type</t>
  </si>
  <si>
    <t>Filing Date</t>
  </si>
  <si>
    <t>Non-Cash Pension Expense</t>
  </si>
  <si>
    <t>Interest Capitalized</t>
  </si>
  <si>
    <t>Normalized Net Income</t>
  </si>
  <si>
    <t>Total Deferred Taxes</t>
  </si>
  <si>
    <t>Deferred Foreign Taxes</t>
  </si>
  <si>
    <t>Deferred Domestic Taxes</t>
  </si>
  <si>
    <t>Total Current Taxes</t>
  </si>
  <si>
    <t>Current Foreign Taxes</t>
  </si>
  <si>
    <t>Current Domestic Taxes</t>
  </si>
  <si>
    <t>NM</t>
  </si>
  <si>
    <t>Effective Tax Rate %</t>
  </si>
  <si>
    <t>As Reported Total Revenue*</t>
  </si>
  <si>
    <t>EBITDAR</t>
  </si>
  <si>
    <t>EBIT</t>
  </si>
  <si>
    <t>EBITA</t>
  </si>
  <si>
    <t>EBITDA</t>
  </si>
  <si>
    <t>Supplemental Items</t>
  </si>
  <si>
    <t>Shares per Depository Receipt</t>
  </si>
  <si>
    <t>Payout Ratio %</t>
  </si>
  <si>
    <t>Dividends per Share</t>
  </si>
  <si>
    <t>Normalized Diluted EPS</t>
  </si>
  <si>
    <t>Normalized Basic EPS</t>
  </si>
  <si>
    <t>Weighted Avg. Diluted Shares Out.</t>
  </si>
  <si>
    <t>Diluted EPS Excl. Extra Items</t>
  </si>
  <si>
    <t>Diluted EPS</t>
  </si>
  <si>
    <t>Weighted Avg. Basic Shares Out.</t>
  </si>
  <si>
    <t>Basic EPS Excl. Extra Items</t>
  </si>
  <si>
    <t>Basic EPS</t>
  </si>
  <si>
    <t>Per Share Items</t>
  </si>
  <si>
    <t xml:space="preserve">  NI to Common Excl. Extra Items</t>
  </si>
  <si>
    <t xml:space="preserve">  NI to Common Incl Extra Items</t>
  </si>
  <si>
    <t>Pref. Dividends and Other Adj.</t>
  </si>
  <si>
    <t xml:space="preserve">  Net Income</t>
  </si>
  <si>
    <t>Minority Int. in Earnings</t>
  </si>
  <si>
    <t xml:space="preserve">  Net Income to Company</t>
  </si>
  <si>
    <t>Extraord. Item &amp; Account. Change</t>
  </si>
  <si>
    <t>Earnings of Discontinued Ops.</t>
  </si>
  <si>
    <t xml:space="preserve">  Earnings from Cont. Ops.</t>
  </si>
  <si>
    <t>Income Tax Expense</t>
  </si>
  <si>
    <t xml:space="preserve">  EBT Incl. Unusual Items</t>
  </si>
  <si>
    <t>Other Unusual Items</t>
  </si>
  <si>
    <t>Legal Settlements</t>
  </si>
  <si>
    <t>Asset Writedown</t>
  </si>
  <si>
    <t>Gain (Loss) On Sale Of Assets</t>
  </si>
  <si>
    <t>Gain (Loss) On Sale Of Invest.</t>
  </si>
  <si>
    <t>Impairment of Goodwill</t>
  </si>
  <si>
    <t>Merger &amp; Related Restruct. Charges</t>
  </si>
  <si>
    <t>Restructuring Charges</t>
  </si>
  <si>
    <t xml:space="preserve">  EBT Excl. Unusual Items</t>
  </si>
  <si>
    <t>Other Non-Operating Inc. (Exp.)</t>
  </si>
  <si>
    <t>Currency Exchange Gains (Loss)</t>
  </si>
  <si>
    <t>Income/(Loss) from Affiliates</t>
  </si>
  <si>
    <t xml:space="preserve">  Net Interest Exp.</t>
  </si>
  <si>
    <t>Interest and Invest. Income</t>
  </si>
  <si>
    <t>Interest Expense</t>
  </si>
  <si>
    <t xml:space="preserve">  Operating Income</t>
  </si>
  <si>
    <t xml:space="preserve">  Other Operating Exp., Total</t>
  </si>
  <si>
    <t>Other Operating Expense/(Income)</t>
  </si>
  <si>
    <t>Amort. of Goodwill and Intangibles</t>
  </si>
  <si>
    <t>Depreciation &amp; Amort.</t>
  </si>
  <si>
    <t>R &amp; D Exp.</t>
  </si>
  <si>
    <t>Selling General &amp; Admin Exp.</t>
  </si>
  <si>
    <t xml:space="preserve">  Gross Profit</t>
  </si>
  <si>
    <t>Cost Of Goods Sold</t>
  </si>
  <si>
    <t xml:space="preserve">  Total Revenue</t>
  </si>
  <si>
    <t>Other Revenue</t>
  </si>
  <si>
    <t>Revenue</t>
  </si>
  <si>
    <t>USD</t>
  </si>
  <si>
    <t>Currency</t>
  </si>
  <si>
    <t>12 months
Dec-31-2024</t>
  </si>
  <si>
    <t>12 months
Dec-31-2023</t>
  </si>
  <si>
    <t>Reclassified
12 months
Dec-31-2022</t>
  </si>
  <si>
    <t>12 months
Dec-31-2021</t>
  </si>
  <si>
    <t>Reclassified
12 months
Dec-31-2020</t>
  </si>
  <si>
    <t>Reclassified
12 months
Dec-31-2019</t>
  </si>
  <si>
    <t xml:space="preserve">For the Fiscal Period Ending
</t>
  </si>
  <si>
    <t>Income Statement</t>
  </si>
  <si>
    <t> </t>
  </si>
  <si>
    <t>Capital IQ &amp; Proprietary Data</t>
  </si>
  <si>
    <t>Source:</t>
  </si>
  <si>
    <t>Capital IQ (Default)</t>
  </si>
  <si>
    <t>Decimals:</t>
  </si>
  <si>
    <t>S&amp;P Capital IQ (Default)</t>
  </si>
  <si>
    <t>Units:</t>
  </si>
  <si>
    <t>Historical</t>
  </si>
  <si>
    <t>Conversion:</t>
  </si>
  <si>
    <t>Reported Currency</t>
  </si>
  <si>
    <t>Currency:</t>
  </si>
  <si>
    <t>Latest on Right</t>
  </si>
  <si>
    <t>Order:</t>
  </si>
  <si>
    <t>Annual</t>
  </si>
  <si>
    <t>Period Type:</t>
  </si>
  <si>
    <t>Latest Filings</t>
  </si>
  <si>
    <t>Restatement:</t>
  </si>
  <si>
    <t>Standard</t>
  </si>
  <si>
    <t>Template:</t>
  </si>
  <si>
    <t>In Millions of the reported currency, except per share items.</t>
  </si>
  <si>
    <t>Molson Coors Beverage Company (NYSE:TAP) &gt; Financials &gt; Income Statement</t>
  </si>
  <si>
    <t>Note: For multiple class companies, total share counts are primary class equivalent, and for foreign companies listed as primary ADRs, total share counts are ADR-equivalent.</t>
  </si>
  <si>
    <t>RUP</t>
  </si>
  <si>
    <t>Accum. Allowance for Doubtful Accts</t>
  </si>
  <si>
    <t>Full Time Employees</t>
  </si>
  <si>
    <t>Natural Resources, at Cost</t>
  </si>
  <si>
    <t>Construction in Progress</t>
  </si>
  <si>
    <t>Machinery</t>
  </si>
  <si>
    <t>Buildings</t>
  </si>
  <si>
    <t>Land</t>
  </si>
  <si>
    <t>Finished Goods Inventory</t>
  </si>
  <si>
    <t>Work in Progress Inventory</t>
  </si>
  <si>
    <t>Raw Materials Inventory</t>
  </si>
  <si>
    <t>FIFO</t>
  </si>
  <si>
    <t>Inventory Method</t>
  </si>
  <si>
    <t>Equity Method Investments</t>
  </si>
  <si>
    <t>Total Minority Interest</t>
  </si>
  <si>
    <t>Debt Equivalent Oper. Leases</t>
  </si>
  <si>
    <t>Debt Equiv. of Unfunded Proj. Benefit Obligation</t>
  </si>
  <si>
    <t>Net Debt</t>
  </si>
  <si>
    <t>Total Debt</t>
  </si>
  <si>
    <t>Tangible Book Value/Share</t>
  </si>
  <si>
    <t>Tangible Book Value</t>
  </si>
  <si>
    <t>Book Value/Share</t>
  </si>
  <si>
    <t>Total Shares Out. on Balance Sheet Date</t>
  </si>
  <si>
    <t>Total Shares Out. on Filing Date</t>
  </si>
  <si>
    <t>Total Liabilities And Equity</t>
  </si>
  <si>
    <t>Total Equity</t>
  </si>
  <si>
    <t>Minority Interest</t>
  </si>
  <si>
    <t xml:space="preserve">  Total Common Equity</t>
  </si>
  <si>
    <t>Comprehensive Inc. and Other</t>
  </si>
  <si>
    <t>Treasury Stock</t>
  </si>
  <si>
    <t>Retained Earnings</t>
  </si>
  <si>
    <t>Additional Paid In Capital</t>
  </si>
  <si>
    <t>Common Stock</t>
  </si>
  <si>
    <t>Total Liabilities</t>
  </si>
  <si>
    <t>Other Non-Current Liabilities</t>
  </si>
  <si>
    <t>Def. Tax Liability, Non-Curr.</t>
  </si>
  <si>
    <t>Pension &amp; Other Post-Retire. Benefits</t>
  </si>
  <si>
    <t>Long-Term Leases</t>
  </si>
  <si>
    <t>Long-Term Debt</t>
  </si>
  <si>
    <t xml:space="preserve">  Total Current Liabilities</t>
  </si>
  <si>
    <t>Other Current Liabilities</t>
  </si>
  <si>
    <t>Curr. Port. of Leases</t>
  </si>
  <si>
    <t>Curr. Port. of LT Debt</t>
  </si>
  <si>
    <t>Short-term Borrowings</t>
  </si>
  <si>
    <t>Accrued Exp.</t>
  </si>
  <si>
    <t>Accounts Payable</t>
  </si>
  <si>
    <t>LIABILITIES</t>
  </si>
  <si>
    <t>Total Assets</t>
  </si>
  <si>
    <t>Other Long-Term Assets</t>
  </si>
  <si>
    <t>Deferred Charges, LT</t>
  </si>
  <si>
    <t>Deferred Tax Assets, LT</t>
  </si>
  <si>
    <t>Other Intangibles</t>
  </si>
  <si>
    <t>Goodwill</t>
  </si>
  <si>
    <t>Long-term Investments</t>
  </si>
  <si>
    <t xml:space="preserve">  Net Property, Plant &amp; Equipment</t>
  </si>
  <si>
    <t>Accumulated Depreciation</t>
  </si>
  <si>
    <t>Gross Property, Plant &amp; Equipment</t>
  </si>
  <si>
    <t xml:space="preserve">  Total Current Assets</t>
  </si>
  <si>
    <t>Other Current Assets</t>
  </si>
  <si>
    <t>Inventory</t>
  </si>
  <si>
    <t xml:space="preserve">  Total Receivables</t>
  </si>
  <si>
    <t>Other Receivables</t>
  </si>
  <si>
    <t>Accounts Receivable</t>
  </si>
  <si>
    <t xml:space="preserve">  Total Cash &amp; ST Investments</t>
  </si>
  <si>
    <t>Cash And Equivalents</t>
  </si>
  <si>
    <t>ASSETS</t>
  </si>
  <si>
    <t xml:space="preserve">Balance Sheet as of:
</t>
  </si>
  <si>
    <t>Balance Sheet</t>
  </si>
  <si>
    <t>Molson Coors Beverage Company (NYSE:TAP) &gt; Financials &gt; Balance Sheet</t>
  </si>
  <si>
    <t>Molson Coors Beverage Company (NYSE:TAP) &gt; Financials &gt; Common Size Balance Sheet (Vertical)</t>
  </si>
  <si>
    <t>Molson Coors Beverage Company (NYSE:TAP) &gt; Financials &gt; Common Size Income Statement (Vertical)</t>
  </si>
  <si>
    <t>FINANCIAL RATIOS</t>
  </si>
  <si>
    <t>Liquidity</t>
  </si>
  <si>
    <t>Activity/Efficiency</t>
  </si>
  <si>
    <t>Leverage/Coverage</t>
  </si>
  <si>
    <t>Profitability</t>
  </si>
  <si>
    <t>Decompose ROE using Dupont Identity</t>
  </si>
  <si>
    <t>Profit Margin</t>
  </si>
  <si>
    <t>Asset Turnover</t>
  </si>
  <si>
    <t>Equity Multipler</t>
  </si>
  <si>
    <t>Financial Ratios</t>
  </si>
  <si>
    <t xml:space="preserve">  Dividend per Share</t>
  </si>
  <si>
    <t xml:space="preserve">  Unlevered Free Cash Flow</t>
  </si>
  <si>
    <t xml:space="preserve">  Levered Free Cash Flow</t>
  </si>
  <si>
    <t xml:space="preserve">  Capital Expenditures</t>
  </si>
  <si>
    <t xml:space="preserve">  Cash from Ops.</t>
  </si>
  <si>
    <t xml:space="preserve">  Common Equity</t>
  </si>
  <si>
    <t xml:space="preserve">  Tangible Book Value</t>
  </si>
  <si>
    <t xml:space="preserve">  Total Assets</t>
  </si>
  <si>
    <t xml:space="preserve">  Net PP&amp;E</t>
  </si>
  <si>
    <t xml:space="preserve">  Inventory</t>
  </si>
  <si>
    <t xml:space="preserve">  Accounts Receivable</t>
  </si>
  <si>
    <t xml:space="preserve">  Diluted EPS before Extra</t>
  </si>
  <si>
    <t xml:space="preserve">  Normalized Net Income</t>
  </si>
  <si>
    <t xml:space="preserve">  EBIT</t>
  </si>
  <si>
    <t xml:space="preserve">  EBITA</t>
  </si>
  <si>
    <t xml:space="preserve">  EBITDA</t>
  </si>
  <si>
    <t>Compound Annual Growth Rate Over Five Years</t>
  </si>
  <si>
    <t>Compound Annual Growth Rate Over Three Years</t>
  </si>
  <si>
    <t>Compound Annual Growth Rate Over Two Years</t>
  </si>
  <si>
    <t>Growth Over Prior Year</t>
  </si>
  <si>
    <t xml:space="preserve">  Altman Z Score</t>
  </si>
  <si>
    <t xml:space="preserve">  Net Debt/(EBITDA-CAPEX)</t>
  </si>
  <si>
    <t xml:space="preserve">  Total Debt/(EBITDA-CAPEX)</t>
  </si>
  <si>
    <t xml:space="preserve">  Net Debt/EBITDA</t>
  </si>
  <si>
    <t xml:space="preserve">  Total Debt/EBITDA</t>
  </si>
  <si>
    <t xml:space="preserve">  (EBITDA-CAPEX) / Interest Exp.</t>
  </si>
  <si>
    <t xml:space="preserve">  EBITDA / Interest Exp.</t>
  </si>
  <si>
    <t xml:space="preserve">  Total Liabilities/Total Assets</t>
  </si>
  <si>
    <t xml:space="preserve">  LT Debt/Capital</t>
  </si>
  <si>
    <t xml:space="preserve">  LT Debt/Equity</t>
  </si>
  <si>
    <t xml:space="preserve">  Total Debt/Equity</t>
  </si>
  <si>
    <t>Long Term Solvency</t>
  </si>
  <si>
    <t xml:space="preserve">  Avg. Cash Conversion Cycle</t>
  </si>
  <si>
    <t xml:space="preserve">  Avg. Days Payable Out.</t>
  </si>
  <si>
    <t xml:space="preserve">  Avg. Days Inventory Out.</t>
  </si>
  <si>
    <t xml:space="preserve">  Avg. Days Sales Out.</t>
  </si>
  <si>
    <t xml:space="preserve">  Cash from Ops. to Curr. Liab.</t>
  </si>
  <si>
    <t xml:space="preserve">  Quick Ratio</t>
  </si>
  <si>
    <t xml:space="preserve">  Current Ratio</t>
  </si>
  <si>
    <t>Short Term Liquidity</t>
  </si>
  <si>
    <t xml:space="preserve">  Inventory Turnover</t>
  </si>
  <si>
    <t xml:space="preserve">  Accounts Receivable Turnover</t>
  </si>
  <si>
    <t xml:space="preserve">  Fixed Asset Turnover</t>
  </si>
  <si>
    <t xml:space="preserve">  Total Asset Turnover</t>
  </si>
  <si>
    <t xml:space="preserve">  Unlevered Free Cash Flow Margin %</t>
  </si>
  <si>
    <t xml:space="preserve">  Levered Free Cash Flow Margin %</t>
  </si>
  <si>
    <t xml:space="preserve">  Normalized Net Income Margin %</t>
  </si>
  <si>
    <t xml:space="preserve">  Net Income Avail. for Common Margin %</t>
  </si>
  <si>
    <t xml:space="preserve">  Net Income Margin %</t>
  </si>
  <si>
    <t xml:space="preserve">  Earnings from Cont. Ops Margin %</t>
  </si>
  <si>
    <t xml:space="preserve">  EBIT Margin %</t>
  </si>
  <si>
    <t xml:space="preserve">  EBITA Margin %</t>
  </si>
  <si>
    <t xml:space="preserve">  EBITDA Margin %</t>
  </si>
  <si>
    <t xml:space="preserve">  SG&amp;A Margin %</t>
  </si>
  <si>
    <t xml:space="preserve">  Gross Margin %</t>
  </si>
  <si>
    <t>Margin Analysis</t>
  </si>
  <si>
    <t xml:space="preserve">  Return on Common Equity %</t>
  </si>
  <si>
    <t xml:space="preserve">  Return on Equity %</t>
  </si>
  <si>
    <t xml:space="preserve">  Return on Capital %</t>
  </si>
  <si>
    <t xml:space="preserve">  Return on Assets %</t>
  </si>
  <si>
    <t>Ratios</t>
  </si>
  <si>
    <t>Heineken N.V. (ENXTAM:HEIA) &gt; Financials &gt; Ratios</t>
  </si>
  <si>
    <t>Constellation Brands, Inc. (NYSE:STZ) &gt; Financials &gt; Ratios</t>
  </si>
  <si>
    <t>The Boston Beer Company, Inc. (NYSE:SAM) &gt; Financials &gt; Ratios</t>
  </si>
  <si>
    <t>Molson Coors Beverage Company (NYSE:TAP) &gt; Financials &gt; Ratios</t>
  </si>
  <si>
    <t xml:space="preserve">  Total Debt Ratio</t>
  </si>
  <si>
    <t xml:space="preserve">  Times Interest Earned</t>
  </si>
  <si>
    <t>Boston Beer</t>
  </si>
  <si>
    <t>Peer Average 2024</t>
  </si>
  <si>
    <t>ROE %</t>
  </si>
  <si>
    <t>SENSITIVITY ANALYSIS</t>
  </si>
  <si>
    <t>x</t>
  </si>
  <si>
    <t>Average unlevered beta (Full industry)</t>
  </si>
  <si>
    <t>Average unlevered beta</t>
  </si>
  <si>
    <t>Tax Rate</t>
  </si>
  <si>
    <t>Beta</t>
  </si>
  <si>
    <t>Equity</t>
  </si>
  <si>
    <t>Debt</t>
  </si>
  <si>
    <t>Ticker</t>
  </si>
  <si>
    <t>Company</t>
  </si>
  <si>
    <t xml:space="preserve">Marginal </t>
  </si>
  <si>
    <t>Unlevered</t>
  </si>
  <si>
    <t>Reg</t>
  </si>
  <si>
    <t>Debt/</t>
  </si>
  <si>
    <t>Book Value</t>
  </si>
  <si>
    <t>MV</t>
  </si>
  <si>
    <t>BOTTOM UP BETA</t>
  </si>
  <si>
    <t>Weighted average cost of capital</t>
  </si>
  <si>
    <t>Cost of equity</t>
  </si>
  <si>
    <t>Market risk premium (Rm - Rf)</t>
  </si>
  <si>
    <t>Risk-free rate</t>
  </si>
  <si>
    <t>Marginal tax rate</t>
  </si>
  <si>
    <t>Pre-tax cost of debt</t>
  </si>
  <si>
    <t>Cost of debt</t>
  </si>
  <si>
    <t>Weight of equity</t>
  </si>
  <si>
    <t>Weight of debt</t>
  </si>
  <si>
    <t>Market value of equity</t>
  </si>
  <si>
    <t>Shares outstanding</t>
  </si>
  <si>
    <t>Share price</t>
  </si>
  <si>
    <t>Total debt</t>
  </si>
  <si>
    <t>Percent of Capital</t>
  </si>
  <si>
    <t>Current</t>
  </si>
  <si>
    <t>WACC</t>
  </si>
  <si>
    <t>Diluted shares outstanding</t>
  </si>
  <si>
    <t>Total shares repurchased</t>
  </si>
  <si>
    <t>Total proceeds</t>
  </si>
  <si>
    <t>In-the-money options</t>
  </si>
  <si>
    <t>Current share price</t>
  </si>
  <si>
    <t>Exercise price</t>
  </si>
  <si>
    <t>Oustanding options</t>
  </si>
  <si>
    <t>Outstanding options</t>
  </si>
  <si>
    <t>Basic share count</t>
  </si>
  <si>
    <t>Treasury Method- All Outstanding Options</t>
  </si>
  <si>
    <t>Treasury with a Twist- All Outstanding Options</t>
  </si>
  <si>
    <t>DILUTED SHARES</t>
  </si>
  <si>
    <t>Non-cash NWC as a % of Sale</t>
  </si>
  <si>
    <t>Projected</t>
  </si>
  <si>
    <t>Change in NWC</t>
  </si>
  <si>
    <t>Non-cash Net Working Capital</t>
  </si>
  <si>
    <t>Total non-debt current liabilities</t>
  </si>
  <si>
    <t>Total non-cash current assets</t>
  </si>
  <si>
    <t>WORKING CAPITAL SCHEDULE</t>
  </si>
  <si>
    <t>Implied Equity Value per Share</t>
  </si>
  <si>
    <t>Diluted Shares Outstanding</t>
  </si>
  <si>
    <t>Implied Equity Value</t>
  </si>
  <si>
    <t>Total Proceeds</t>
  </si>
  <si>
    <t>Net debt + Preferred stock + NCI</t>
  </si>
  <si>
    <t>Total Enterprise Value</t>
  </si>
  <si>
    <t>PV of Unlevered Free Cash Flows</t>
  </si>
  <si>
    <t>Treasury Outstanding Options</t>
  </si>
  <si>
    <t>PV of Terminal Value</t>
  </si>
  <si>
    <t>WACC - current</t>
  </si>
  <si>
    <t>Value of Options</t>
  </si>
  <si>
    <t>Terminal value</t>
  </si>
  <si>
    <t>Basic Shares</t>
  </si>
  <si>
    <t>Terminal year EBITDA multiple</t>
  </si>
  <si>
    <t>Terminal growth rate</t>
  </si>
  <si>
    <t>Implied Equity Value (Using TV)</t>
  </si>
  <si>
    <t>Terminal year EBITDA</t>
  </si>
  <si>
    <t>Unlevered FCF in terminal year</t>
  </si>
  <si>
    <t>Option Drag</t>
  </si>
  <si>
    <t>Terminal Value - Exit Multiple</t>
  </si>
  <si>
    <t>Terminal Value - Perpetuity Growth</t>
  </si>
  <si>
    <t>TERMINAL VALUE AND EQUITY VALUE PER SHARE</t>
  </si>
  <si>
    <t>Step</t>
  </si>
  <si>
    <t>Assumptions</t>
  </si>
  <si>
    <t>Unlevered free cash flows</t>
  </si>
  <si>
    <t>Change in Net Working Capital</t>
  </si>
  <si>
    <t>Tax-effected EBIT</t>
  </si>
  <si>
    <t>Taxes</t>
  </si>
  <si>
    <t>Gross Profit</t>
  </si>
  <si>
    <t>FORECASTING CASH FLOWS</t>
  </si>
  <si>
    <t xml:space="preserve">Valuation Date </t>
  </si>
  <si>
    <t>Share Price</t>
  </si>
  <si>
    <t>Company Name</t>
  </si>
  <si>
    <t>Molson Coors</t>
  </si>
  <si>
    <t>TAP</t>
  </si>
  <si>
    <t>Revenue Growth</t>
  </si>
  <si>
    <t>COGS (as a % of Revnue)</t>
  </si>
  <si>
    <t>SG&amp;A (as a % of Revneue)</t>
  </si>
  <si>
    <t>Capital Expenditure (as a % of Revenue)</t>
  </si>
  <si>
    <t>Gross margin</t>
  </si>
  <si>
    <t>Net Debt Issued</t>
  </si>
  <si>
    <t>Unlevered Free Cash Flow</t>
  </si>
  <si>
    <t>Levered Free Cash Flow</t>
  </si>
  <si>
    <t>Cash Taxes Paid</t>
  </si>
  <si>
    <t>Cash Interest Paid</t>
  </si>
  <si>
    <t xml:space="preserve">  Net Change in Cash</t>
  </si>
  <si>
    <t>Foreign Exchange Rate Adj.</t>
  </si>
  <si>
    <t xml:space="preserve">  Cash from Financing</t>
  </si>
  <si>
    <t>Other Financing Activities</t>
  </si>
  <si>
    <t>Special Dividend Paid</t>
  </si>
  <si>
    <t>Total Dividends Paid</t>
  </si>
  <si>
    <t>Common Dividends Paid</t>
  </si>
  <si>
    <t>Repurchase of Common Stock</t>
  </si>
  <si>
    <t>Issuance of Common Stock</t>
  </si>
  <si>
    <t>Total Debt Repaid</t>
  </si>
  <si>
    <t>Long-Term Debt Repaid</t>
  </si>
  <si>
    <t>Short Term Debt Repaid</t>
  </si>
  <si>
    <t>Total Debt Issued</t>
  </si>
  <si>
    <t>Long-Term Debt Issued</t>
  </si>
  <si>
    <t>Short Term Debt Issued</t>
  </si>
  <si>
    <t xml:space="preserve">  Cash from Investing</t>
  </si>
  <si>
    <t>Other Investing Activities</t>
  </si>
  <si>
    <t>Net (Inc.) Dec. in Loans Originated/Sold</t>
  </si>
  <si>
    <t>Invest. in Marketable &amp; Equity Securt.</t>
  </si>
  <si>
    <t>Divestitures</t>
  </si>
  <si>
    <t>Cash Acquisitions</t>
  </si>
  <si>
    <t>Sale of Property, Plant, and Equipment</t>
  </si>
  <si>
    <t>Capital Expenditure</t>
  </si>
  <si>
    <t>Change in Other Net Operating Assets</t>
  </si>
  <si>
    <t>Change in Acc. Payable</t>
  </si>
  <si>
    <t>Change In Inventories</t>
  </si>
  <si>
    <t>Change in Acc. Receivable</t>
  </si>
  <si>
    <t>Other Operating Activities</t>
  </si>
  <si>
    <t>Stock-Based Compensation</t>
  </si>
  <si>
    <t>(Income) Loss on Equity Invest.</t>
  </si>
  <si>
    <t>Asset Writedown &amp; Restructuring Costs</t>
  </si>
  <si>
    <t>(Gain) Loss From Sale Of Assets</t>
  </si>
  <si>
    <t>Other Amortization</t>
  </si>
  <si>
    <t>Depreciation &amp; Amort., Total</t>
  </si>
  <si>
    <t>Net Income</t>
  </si>
  <si>
    <t xml:space="preserve"> </t>
  </si>
  <si>
    <t>Cash Flow</t>
  </si>
  <si>
    <t>Molson Coors Beverage Company (NYSE:TAP) &gt; Financials &gt; Cash Flow</t>
  </si>
  <si>
    <t>Depreciation &amp; Amort., Totals (as % of capex)</t>
  </si>
  <si>
    <t xml:space="preserve">  Total current liabilities</t>
  </si>
  <si>
    <t>Default Spread</t>
  </si>
  <si>
    <t>Anheuser-Busch InBev SA/NV</t>
  </si>
  <si>
    <t>Constellation Brands, Inc.</t>
  </si>
  <si>
    <t>Heineken N.V.</t>
  </si>
  <si>
    <t>BUD</t>
  </si>
  <si>
    <t>STZ</t>
  </si>
  <si>
    <t>SAM</t>
  </si>
  <si>
    <t>HEIA</t>
  </si>
  <si>
    <t>Carlsberg A/S</t>
  </si>
  <si>
    <t>CARL B</t>
  </si>
  <si>
    <t>Class A Shares</t>
  </si>
  <si>
    <t>Class B Shares</t>
  </si>
  <si>
    <t>Voting Premium</t>
  </si>
  <si>
    <t>N/A</t>
  </si>
  <si>
    <t>Unvested RSUs</t>
  </si>
  <si>
    <t>WACC Step</t>
  </si>
  <si>
    <t>Terminal Growth Rate Step</t>
  </si>
  <si>
    <t>Terminal Growth Rate</t>
  </si>
  <si>
    <t>Amort. (as a % of Revenue)</t>
  </si>
  <si>
    <t>Fiscal year ends in December USD in millions except per share data.</t>
  </si>
  <si>
    <t xml:space="preserve">  Diluted EPS - Continuing Operations</t>
  </si>
  <si>
    <t xml:space="preserve">  Basic EPS - Continuing Operations</t>
  </si>
  <si>
    <t xml:space="preserve">  Operating Income (Loss)</t>
  </si>
  <si>
    <t xml:space="preserve">  Gross Profit/loss</t>
  </si>
  <si>
    <t>Supplementary Info</t>
  </si>
  <si>
    <t xml:space="preserve">  Net Income (Loss)</t>
  </si>
  <si>
    <t xml:space="preserve">  Minority Interest (After Tax)</t>
  </si>
  <si>
    <t xml:space="preserve">  Provision for Income Tax</t>
  </si>
  <si>
    <t>Taxes and Other Expenses</t>
  </si>
  <si>
    <t xml:space="preserve">  Earnings before Taxes</t>
  </si>
  <si>
    <t xml:space="preserve">  Other Non-operating Income/expense, Net</t>
  </si>
  <si>
    <t xml:space="preserve">  Equity Income (Loss)</t>
  </si>
  <si>
    <t xml:space="preserve">  Interest Income</t>
  </si>
  <si>
    <t xml:space="preserve">  Interest Expense</t>
  </si>
  <si>
    <t xml:space="preserve">  Goodwill Impairments</t>
  </si>
  <si>
    <t xml:space="preserve">  Other Operating Income/expense, Net</t>
  </si>
  <si>
    <t xml:space="preserve">  Marketing, General and Administrative Expenses</t>
  </si>
  <si>
    <t xml:space="preserve">  Other Pension and Postretirement Benefits (costs), Net</t>
  </si>
  <si>
    <t xml:space="preserve">  Cost of Goods Sold</t>
  </si>
  <si>
    <t>Expenses</t>
  </si>
  <si>
    <t xml:space="preserve">  Total Revenues</t>
  </si>
  <si>
    <t xml:space="preserve">  Less Beer Excise Taxes</t>
  </si>
  <si>
    <t xml:space="preserve">  Sales</t>
  </si>
  <si>
    <t>Revenues</t>
  </si>
  <si>
    <t>Millions</t>
  </si>
  <si>
    <t>Units</t>
  </si>
  <si>
    <t>As Presented</t>
  </si>
  <si>
    <t xml:space="preserve">  Total Liabilities &amp; Shareholders Equity</t>
  </si>
  <si>
    <t xml:space="preserve">  Total Shareholders Equity</t>
  </si>
  <si>
    <t xml:space="preserve">  Accumulated Other Comprehensive Income (Loss)</t>
  </si>
  <si>
    <t xml:space="preserve">  Retained Earnings</t>
  </si>
  <si>
    <t xml:space="preserve">  Treasury Stock - Common</t>
  </si>
  <si>
    <t xml:space="preserve">  Additional Paid in Capital</t>
  </si>
  <si>
    <t xml:space="preserve">  Common Stock - Par Value</t>
  </si>
  <si>
    <t>Shareholders' Equity</t>
  </si>
  <si>
    <t xml:space="preserve">  Other Liabilities</t>
  </si>
  <si>
    <t xml:space="preserve">  Redeemable Noncontrolling Interests</t>
  </si>
  <si>
    <t xml:space="preserve">  Minority Interest</t>
  </si>
  <si>
    <t xml:space="preserve">  Deferred Tax Liabilities</t>
  </si>
  <si>
    <t xml:space="preserve">  Pension &amp; Post Retirement Benefit</t>
  </si>
  <si>
    <t xml:space="preserve">  Long-term Debt</t>
  </si>
  <si>
    <t>Non Current Liabilities</t>
  </si>
  <si>
    <t xml:space="preserve">  Current Portion of Long-term Debt and Short-term Borrowings</t>
  </si>
  <si>
    <t xml:space="preserve">  Accounts Payable and Other Current Liabilities</t>
  </si>
  <si>
    <t>Current Liabilities</t>
  </si>
  <si>
    <t xml:space="preserve">  Other Assets</t>
  </si>
  <si>
    <t xml:space="preserve">  Other Intangibles</t>
  </si>
  <si>
    <t xml:space="preserve">  Goodwill</t>
  </si>
  <si>
    <t xml:space="preserve">  Property, Plant and Equipment, Net</t>
  </si>
  <si>
    <t>Non Current Assets</t>
  </si>
  <si>
    <t xml:space="preserve">  Other Current Assets</t>
  </si>
  <si>
    <t xml:space="preserve">  Inventories (Net)</t>
  </si>
  <si>
    <t xml:space="preserve">  Other Receivables (Net)</t>
  </si>
  <si>
    <t xml:space="preserve">  Trade Receivables Net</t>
  </si>
  <si>
    <t xml:space="preserve">  Cash and Cash Equivalents</t>
  </si>
  <si>
    <t>Current Assets</t>
  </si>
  <si>
    <t xml:space="preserve">  Accounts and Notes Receivable-affiliates</t>
  </si>
  <si>
    <t>*Peer Group Consists Of: Heineken N.V. (ENXTAM:HEIA), Anheuser-Busch InBev SA/NV (ENXTBR:ABI), The Boston Beer Company, Inc. (NYSE:SAM), and Constellation Brands, Inc. (NYSE:STZ).</t>
  </si>
  <si>
    <t xml:space="preserve">  EBIT / Interest Exp.</t>
  </si>
  <si>
    <t>Anheuser-Busch InBev SA/NV (ENXTBR:ABI) &gt; Financials &gt; Ratios</t>
  </si>
  <si>
    <t>*Negative Value</t>
  </si>
  <si>
    <t>2024</t>
  </si>
  <si>
    <t>Index/Match Function Inputs for Ratios</t>
  </si>
  <si>
    <t>Total Current Assets</t>
  </si>
  <si>
    <t>Total current assets</t>
  </si>
  <si>
    <t xml:space="preserve">Ratios Heinekein </t>
  </si>
  <si>
    <t>Ratios Constellation</t>
  </si>
  <si>
    <t>Ratios Boston-Beer</t>
  </si>
  <si>
    <t xml:space="preserve">Ratios Busch </t>
  </si>
  <si>
    <t>Coors 2024</t>
  </si>
  <si>
    <t>ChatGPT</t>
  </si>
  <si>
    <t>Morningstar</t>
  </si>
  <si>
    <t>Capital IQ</t>
  </si>
  <si>
    <t>Mergent</t>
  </si>
  <si>
    <t>Seeking Alpha</t>
  </si>
  <si>
    <t>5,002 firms</t>
  </si>
  <si>
    <t>Industry (SIC code: 2082)</t>
  </si>
  <si>
    <t>TAP 10K (comp)</t>
  </si>
  <si>
    <t>Proxy Statement</t>
  </si>
  <si>
    <t>Peers</t>
  </si>
  <si>
    <t>Source</t>
  </si>
  <si>
    <t>Alcoholic Beverage Distributors</t>
  </si>
  <si>
    <t>Industry</t>
  </si>
  <si>
    <t xml:space="preserve">LTM Total Revenues, 1 Yr Growth % </t>
  </si>
  <si>
    <t xml:space="preserve">LTM EBIT Margin % </t>
  </si>
  <si>
    <t xml:space="preserve">LTM EBITDA Margin % </t>
  </si>
  <si>
    <t xml:space="preserve">LTM Gross Margin % </t>
  </si>
  <si>
    <t>Exchange</t>
  </si>
  <si>
    <t>List of Possible Competitors</t>
  </si>
  <si>
    <t>Business Description</t>
  </si>
  <si>
    <t>Range of Price-to-Book</t>
  </si>
  <si>
    <t>Range of Forward PEG</t>
  </si>
  <si>
    <t>Range of Forward P/E</t>
  </si>
  <si>
    <t>Range of EV/EBITDA</t>
  </si>
  <si>
    <t>Range of EV/EBIT</t>
  </si>
  <si>
    <t>Range of EV/Sales</t>
  </si>
  <si>
    <t>Implied Enterprise Value</t>
  </si>
  <si>
    <t>Implied price per share</t>
  </si>
  <si>
    <t>Low</t>
  </si>
  <si>
    <t>Median</t>
  </si>
  <si>
    <t>Mean</t>
  </si>
  <si>
    <t>High</t>
  </si>
  <si>
    <t>to-Book</t>
  </si>
  <si>
    <t>PEG</t>
  </si>
  <si>
    <t>P/E</t>
  </si>
  <si>
    <t>rate</t>
  </si>
  <si>
    <t>EPS</t>
  </si>
  <si>
    <t>EV/EBITDA</t>
  </si>
  <si>
    <t>EV/EBIT</t>
  </si>
  <si>
    <t>EV/Sales</t>
  </si>
  <si>
    <t>Value</t>
  </si>
  <si>
    <t>of Equity</t>
  </si>
  <si>
    <t>Price(Market)-</t>
  </si>
  <si>
    <t>Forward</t>
  </si>
  <si>
    <t>BV</t>
  </si>
  <si>
    <t>2 year growth</t>
  </si>
  <si>
    <t>Enterprise</t>
  </si>
  <si>
    <t>Market Value</t>
  </si>
  <si>
    <t>Equity Value Multiples</t>
  </si>
  <si>
    <t>Enterprise Value Multiples</t>
  </si>
  <si>
    <t>Valuation Date</t>
  </si>
  <si>
    <t xml:space="preserve">Valuation for period ended </t>
  </si>
  <si>
    <t>General Mills, Inc.
Heineken NV
The Hershey Company
Hormel Foods Corporation
The J. M. Smucker Company
Kellanova
Keurig Dr Pepper Inc.
The Kraft Heinz Company
McCormick &amp; Company, Incorporated
Monster Beverage Corporation.                       Brown-Forman Corporation
Campbell Soup Company
Carlsberg A/S
The Clorox Company
Coca-Cola European Partners Plc
Colgate-Palmolive Company
Conagra Brands, Inc.
Constellation Brands, Inc.
Diageo plc</t>
  </si>
  <si>
    <t>Anheuser-Busch InBev SA/NV ("ABI"), Constellation Brands, Inc., Heineken, Asahi, Carlsberg.</t>
  </si>
  <si>
    <t>Compañía Cervecerías Unidas S.A., The Boston Beer Company, Inc., Carlsberg A/S, Ambev S.A., and Heineken N.V.</t>
  </si>
  <si>
    <t>Constellation Brands, Inc. (NYSE:STZ), The Boston Beer Company, Inc. (NYSE:SAM), Brown-Forman Corporation (NYSE:BF.B), Carlsberg A/S (CPSE:CARL B), PepsiCo, Inc. (NasdaqGS:PEP), Kirin Holdings Company, Limited (TSE:2503), Ambev S.A. (BOVESPA:ABEV3), Asahi Group Holdings, Ltd. (TSE:2502), Tsingtao Brewery Company Limited (SHSE:600600), China Resources Beer (Holdings) Company Limited (SEHK:291).</t>
  </si>
  <si>
    <t>Boston Beer Company, Heinekein, and Constellation Brands</t>
  </si>
  <si>
    <t>SAB : XHC – Saigon Beer Alcohol Beverage Corp, BHN : XHC – Hanoi Beer Alcohol and Beverage Joint Stock Corp,                                                     MBG : IDX – Multi Bintang Indonesia Tbk PT, CVZ : SGO – Compañía Cervecerías Unidas S.A., ASBR : TKS – Asahi Group Holdings, CSB : KRX – Hitejinro Holdings Co,                                  CBP : KRX – Hitejinro Holdings Co, KB@N : TKS – Kirin Holdings Co,                                  THB : HST – Thanh Hoa Beer,                              TBL : DAR – Tanzania Breweries PLC.</t>
  </si>
  <si>
    <t>Depreciation and Amortization (% of Capex)</t>
  </si>
  <si>
    <t>COGS (% of Revenue)</t>
  </si>
  <si>
    <t>SG&amp;A (% of Revenue)</t>
  </si>
  <si>
    <t>Amortization of Goodwill and Intangibles (% of Revenue)</t>
  </si>
  <si>
    <t>Capex (% of Revenue)</t>
  </si>
  <si>
    <t>CapitalIQ</t>
  </si>
  <si>
    <t>Brown‑Forman Corporation</t>
  </si>
  <si>
    <t>BF.B</t>
  </si>
  <si>
    <t>The Boston Beer Company, Inc.</t>
  </si>
  <si>
    <t>KO</t>
  </si>
  <si>
    <t>2503</t>
  </si>
  <si>
    <t>ABEV 3</t>
  </si>
  <si>
    <t>2502</t>
  </si>
  <si>
    <t>600600</t>
  </si>
  <si>
    <t>291</t>
  </si>
  <si>
    <t>The Coca-Cola Company</t>
  </si>
  <si>
    <t>Kirin Holdings Company, Limited</t>
  </si>
  <si>
    <t>Ambev S.A.</t>
  </si>
  <si>
    <t>Asahi Group Holdings, Ltd.</t>
  </si>
  <si>
    <t>Tsingtao Brewery Company Limited</t>
  </si>
  <si>
    <t>China Resources Beer (Holdings) Company Limited</t>
  </si>
  <si>
    <t>A leading international producer and marketer of beer, wine, and spirits with operations in the U.S., Mexico, New Zealand, and Italy, building brands that people love to elevate human connections.</t>
  </si>
  <si>
    <t>An American family-controlled publicly traded company that manufactures, markets, and sells alcoholic beverages, enriching life by responsibly building fine quality beverage alcohol brands.</t>
  </si>
  <si>
    <t>One of the largest and most respected craft brewers in the US, producing and selling alcohol beverages including beers, hard seltzers, malt beverages, spirits, and hard cider throughout the United States and in selected international markets</t>
  </si>
  <si>
    <t>An American multinational corporation that manufactures, markets, and sells non-alcoholic beverages, including its flagship Coca-Cola brand, operating through a network of independent bottling partners, distributors, wholesalers, and retailers.</t>
  </si>
  <si>
    <t>A Danish multinational brewer producing and marketing beers such as Carlsberg, Tuborg, and Kronenbourg, with operations in more than 150 markets worldwide.</t>
  </si>
  <si>
    <t>A Japanese company engaged in the production and sale of alcoholic beverages like beer, as well as soft drinks, pharmaceuticals, and health science businesses.</t>
  </si>
  <si>
    <t>A Brazilian company that produces, distributes, and sells beer, draft beer, carbonated soft drinks, malt and food, other alcoholic beverages, and non-alcoholic and non-carbonated products in Brazil, Central America and Caribbean, Latin America South, and Canada.</t>
  </si>
  <si>
    <t>A Japanese beverage holding company that manufactures and sells beer, alcohol and non-alcohol beverages, and food products in Japan, Europe, Oceania, and Southeast Asia.</t>
  </si>
  <si>
    <t>China's second largest brewery, producing and exporting Tsingtao beer with about 15% of domestic market share and accounting for half of China's national beer exports.</t>
  </si>
  <si>
    <t>An investment holding company that manufactures, distributes, and sells beer products in Mainland China, offering its products under the Nong Li, Snow, and Jinsha brands.</t>
  </si>
  <si>
    <t>NYSE</t>
  </si>
  <si>
    <t>CPSE</t>
  </si>
  <si>
    <t>TSE</t>
  </si>
  <si>
    <t>BOVESPA</t>
  </si>
  <si>
    <t>SHSE</t>
  </si>
  <si>
    <t>SEHK</t>
  </si>
  <si>
    <t xml:space="preserve">LTM Net Income Margin % </t>
  </si>
  <si>
    <t xml:space="preserve">LTM EBITDA, 1 Yr Growth % </t>
  </si>
  <si>
    <t xml:space="preserve">LTM EBIT, 1 Yr Growth % </t>
  </si>
  <si>
    <t xml:space="preserve">LTM Net Income, 1 Yr Growth % </t>
  </si>
  <si>
    <t>LTM Total Debt/Capital %</t>
  </si>
  <si>
    <t xml:space="preserve">LTM Total Debt/EBITDA </t>
  </si>
  <si>
    <t xml:space="preserve">NTM LT EPS Growth Rate (Capital IQ) </t>
  </si>
  <si>
    <t>5 Year Beta</t>
  </si>
  <si>
    <t>Molson Coors Beverage Company</t>
  </si>
  <si>
    <t>It manufactures, markets, and sells beer and other malt beverage products in the Americas, Europe, the Middle East, Africa, and the Asia Pacific. The company offers flavored malt beverages including hard seltzers, craft, spirits, and ready to drink beverages.</t>
  </si>
  <si>
    <t>Our company</t>
  </si>
  <si>
    <t>CCU</t>
  </si>
  <si>
    <t>ABI</t>
  </si>
  <si>
    <t>HEIO</t>
  </si>
  <si>
    <t>SNSE</t>
  </si>
  <si>
    <t>ENXTBR</t>
  </si>
  <si>
    <t>ENXTAM</t>
  </si>
  <si>
    <t>Compañía Cervecerías Unidas S.A.</t>
  </si>
  <si>
    <t>Heineken Holding N.V.</t>
  </si>
  <si>
    <r>
      <rPr>
        <b/>
        <sz val="11"/>
        <rFont val="Times New Roman"/>
        <family val="1"/>
      </rPr>
      <t>Primary Global Brewer Peers (closest matches)</t>
    </r>
    <r>
      <rPr>
        <sz val="11"/>
        <rFont val="Times New Roman"/>
        <family val="1"/>
      </rPr>
      <t xml:space="preserve">
	1.	Anheuser-Busch InBev (ABI)
	2.	Heineken N.V.
	3.	Carlsberg A/S
	4.	Asahi Group Holdings
	5.	Ambev S.A.                                             </t>
    </r>
    <r>
      <rPr>
        <b/>
        <sz val="11"/>
        <rFont val="Times New Roman"/>
        <family val="1"/>
      </rPr>
      <t>North American Alcohol Peers</t>
    </r>
    <r>
      <rPr>
        <sz val="11"/>
        <rFont val="Times New Roman"/>
        <family val="1"/>
      </rPr>
      <t xml:space="preserve">
	6.	Constellation Brands
	7.	The Boston Beer Company (SAM).   </t>
    </r>
    <r>
      <rPr>
        <b/>
        <sz val="11"/>
        <rFont val="Times New Roman"/>
        <family val="1"/>
      </rPr>
      <t>Supplementary Beverage / Consumer Staples Peers (Cash Flow + Cost Structure)</t>
    </r>
    <r>
      <rPr>
        <sz val="11"/>
        <rFont val="Times New Roman"/>
        <family val="1"/>
      </rPr>
      <t xml:space="preserve">
	8.	Brown-Forman Corporation
	9.	Keurig Dr Pepper
	10.	Monster Beverage (high growth; useful to bracket valuation multiples)</t>
    </r>
  </si>
  <si>
    <t xml:space="preserve">Seeking Alpha, </t>
  </si>
  <si>
    <t>CapitalIQ, Morningstar</t>
  </si>
  <si>
    <t>CapitalIQ, Morningstar, 10-K</t>
  </si>
  <si>
    <t>Morningstar, 10-K</t>
  </si>
  <si>
    <t>ChatGPT, 10-K</t>
  </si>
  <si>
    <t>Compañía Cervecerías Unidas S.A., together with its subsidiaries, operates as a diversified beverage company in Chile, Argentina, Bolivia, Colombia, Paraguay, and Uruguay. It operates through three segments: Chile, International Business, and Wine.</t>
  </si>
  <si>
    <t>Anheuser-Busch InBev SA/NV produces, distributes, exports, markets, and sells beer in North America, Middle Americas, South America, Europe, the Middle East, Africa, and the Asia Pacific. The company also provides spirits-based ready-to-drink and non-alcohol beverages.</t>
  </si>
  <si>
    <t xml:space="preserve">Heineken Holding N.V., together with its subsidiaries, engages in brewing and selling beer and cider in the Netherlands and internationally. The company’s portfolio consists of approximately 340 international, regional, local, and specialty beers and ciders. </t>
  </si>
  <si>
    <t>CapitalIQ, Seeking Alpha</t>
  </si>
  <si>
    <t>Molson Coors Company</t>
  </si>
  <si>
    <t>Molson Coors Valuation with Public Comparables</t>
  </si>
  <si>
    <t>Molson Coors Additional Information:</t>
  </si>
  <si>
    <t>Net Debt=</t>
  </si>
  <si>
    <t>Perferred Stock=</t>
  </si>
  <si>
    <t>NCI=</t>
  </si>
  <si>
    <t>Inputs</t>
  </si>
  <si>
    <t>Methodology</t>
  </si>
  <si>
    <t>Dif.</t>
  </si>
  <si>
    <t>52 week high-low</t>
  </si>
  <si>
    <t>Exit Multiple Step</t>
  </si>
  <si>
    <t>Exit Multiple</t>
  </si>
  <si>
    <t>Molson Coors Valuation Football Field Chart</t>
  </si>
  <si>
    <t>Molson Coors Relative Valuation Football Field Chart</t>
  </si>
  <si>
    <t>Commentary on Common Size Income Statement</t>
  </si>
  <si>
    <t>Revenue grew steadily from 2020 to 2024 (from $9.65B to $11.63B), showing consistent top-line recovery and expansion following the pandemic dip. </t>
  </si>
  <si>
    <t> The temporary rise in COGS likely reflects higher input and packaging costs during global inflationary periods, while the recent improvement signals better cost control and efficiency gains.</t>
  </si>
  <si>
    <t>From 2.6% in 2019 to 2.1% in 2024, net interest expense decreased somewhat as a proportion of revenue. This pattern points to decreased borrowing costs or leverage, which would enhance Coors' interest coverage and general stability.</t>
  </si>
  <si>
    <t>Coors has achieved strong bottom-line recovery, driven by improved cost efficiency and stable revenue growth. Profitability is now near pre-pandemic levels, signaling effective management execution.</t>
  </si>
  <si>
    <t>Has recovered from the pandemic dip, resulting in steady income from their continued operations.</t>
  </si>
  <si>
    <t> The rebound in EBIT margin highlights improved profitability and operational efficiency post-2022</t>
  </si>
  <si>
    <t>This consistency shows continued brand support and strategic investment in market presence, helping sustain long-term sales growth despite short-term cost challenges.</t>
  </si>
  <si>
    <t>These steady levels, combined with earlier efficiency ratios, indicate consistent working capital discipline and effective operations management.</t>
  </si>
  <si>
    <t>Due mostly to increased cash holdings, current assets increased slightly from $2.42 billion (8.8%) in 2020 to $2.85 billion (10.9%) in 2024. The cash and equivalents ratio almost doubled to 3.7% of total assets by 2024, indicating improved liquidity and cash management.</t>
  </si>
  <si>
    <t>Due to a little amount of reinvestment in production facilities and equipment, net PP&amp;E increased from 16.0% to 17.8% of assets. In order to preserve production capacity and efficiency without going overboard with asset base expansion, this trend recommends strategic capital investment.</t>
  </si>
  <si>
    <t>This high Common Size percentage in goodwill highlights  Coors’ brand strength and acquisition history, though the high proportion of intangibles may also expose the company to impairment risk if future performance weakens.</t>
  </si>
  <si>
    <t>Total assets have remained relatively stable around $26–27 billion from 2020 to 2024, suggesting Coors is operating with a consistent asset base. The slight decline since 2021 indicates asset optimization and disciplined capital management rather than aggressive expansion.</t>
  </si>
  <si>
    <t>Current liabilities dropped from 14.3% to 11.7% of assets. The decline suggests improved short-term solvency and reduced reliance on short-term borrowing, supported by higher cash reserves.</t>
  </si>
  <si>
    <t>Coors has deleveraged steadily, improving its balance sheet strength and reducing financial risk — a key positive for investors and creditors.</t>
  </si>
  <si>
    <t> This modest growth in Treasury Stock reflects share repurchases and foreign exchange adjustments, but they remain moderate relative to total equity, posing minimal balance sheet risk.</t>
  </si>
  <si>
    <t>Between 2020 and 2024, total equity increased from 46.2% to 51.6% of assets. Improved financial stability and the generation of shareholder value are indicated by the consistent rise in equity, which is a reflection of growing retained earnings and decreased leverage.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</si>
</sst>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7">
    <numFmt numFmtId="5" formatCode="&quot;$&quot;#,##0_);\(&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_(* #,##0.0_);_(* \(#,##0.0\)_)\ ;_(* 0_)"/>
    <numFmt numFmtId="165" formatCode="mmm\-dd\-yyyy"/>
    <numFmt numFmtId="166" formatCode="_(#,##0.0%_);_(\(#,##0.0%\)_);_(#,##0.0%_)"/>
    <numFmt numFmtId="167" formatCode="_(* #,##0.0##_);_(* \(#,##0.0##\)_)\ ;_(* 0_)"/>
    <numFmt numFmtId="168" formatCode="_(&quot;$&quot;#,##0.0#_);_(\(&quot;$&quot;#,##0.0#\)_);_(&quot;$&quot;&quot; - &quot;_)"/>
    <numFmt numFmtId="169" formatCode="_(* #,##0.0#_);_(* \(#,##0.0#\)_)\ ;_(* 0_)"/>
    <numFmt numFmtId="170" formatCode="_(* #,##0_);_(* \(#,##0\)_)\ ;_(* 0_)"/>
    <numFmt numFmtId="171" formatCode="_(0.0%_);\(0.0%\)"/>
    <numFmt numFmtId="172" formatCode="#,##0.0\x"/>
    <numFmt numFmtId="173" formatCode="_(0.0\x_);\(0.0\x\)"/>
    <numFmt numFmtId="174" formatCode="0.0\ &quot;days&quot;"/>
    <numFmt numFmtId="175" formatCode="&quot;$&quot;#,##0.0_);\(&quot;$&quot;#,##0.0\)"/>
    <numFmt numFmtId="176" formatCode="0.0%_);\(0.0%\)"/>
    <numFmt numFmtId="177" formatCode="0.0\x"/>
    <numFmt numFmtId="178" formatCode="0.0%"/>
    <numFmt numFmtId="179" formatCode="#,##0.0_);\(#,##0.0\)"/>
    <numFmt numFmtId="180" formatCode="[$-409]d\-mmm\-yy;@"/>
    <numFmt numFmtId="181" formatCode="0&quot;A&quot;"/>
    <numFmt numFmtId="182" formatCode="0&quot;E&quot;"/>
    <numFmt numFmtId="183" formatCode="_(* #,##0.0_);_(* \(#,##0.0\);_(* &quot;-&quot;?_);_(@_)"/>
    <numFmt numFmtId="184" formatCode="_(&quot;$&quot;* #,##0.0_);_(&quot;$&quot;* \(#,##0.0\);_(&quot;$&quot;* &quot;-&quot;??_);_(@_)"/>
    <numFmt numFmtId="185" formatCode="_(* #,##0.0_);_(* \(#,##0.0\);_(* &quot;-&quot;??_);_(@_)"/>
    <numFmt numFmtId="186" formatCode="#,##0.000_);\(#,##0.000\)"/>
    <numFmt numFmtId="187" formatCode="0.0"/>
    <numFmt numFmtId="188" formatCode="_(&quot;$&quot;* #,##0.0_);_(&quot;$&quot;* \(#,##0.0\);_(&quot;$&quot;* &quot;-&quot;?_);_(@_)"/>
    <numFmt numFmtId="189" formatCode="&quot;$&quot;#,##0.00"/>
    <numFmt numFmtId="190" formatCode="&quot;$&quot;#,##0.0_);[Red]\(&quot;$&quot;#,##0.0\)"/>
    <numFmt numFmtId="191" formatCode="_(&quot;$&quot;* #,##0.0_);_(&quot;$&quot;* \(#,##0.0\);_(&quot;$&quot;* &quot;-&quot;_);_(@_)"/>
    <numFmt numFmtId="192" formatCode="_(#,##0.00%_);_(\(#,##0.00%\)_);_(#,##0.00%_)"/>
    <numFmt numFmtId="193" formatCode="_(\ #,##0.0#_);_(\(\ #,##0.0#\)_);_(\ &quot; - &quot;_)"/>
    <numFmt numFmtId="194" formatCode="0.0\x_);\(0.0\x\)"/>
  </numFmts>
  <fonts count="48" x14ac:knownFonts="1">
    <font>
      <sz val="12"/>
      <color theme="1"/>
      <name val="Aptos Narrow"/>
      <family val="2"/>
      <scheme val="minor"/>
    </font>
    <font>
      <sz val="11"/>
      <color theme="1"/>
      <name val="Aptos Narrow"/>
      <family val="2"/>
      <scheme val="minor"/>
    </font>
    <font>
      <sz val="10"/>
      <name val="Arial"/>
      <family val="2"/>
    </font>
    <font>
      <sz val="8"/>
      <name val="Arial"/>
      <family val="2"/>
    </font>
    <font>
      <sz val="8"/>
      <color indexed="8"/>
      <name val="Arial"/>
      <family val="2"/>
    </font>
    <font>
      <b/>
      <sz val="8"/>
      <color indexed="8"/>
      <name val="Arial"/>
      <family val="2"/>
    </font>
    <font>
      <b/>
      <u val="double"/>
      <sz val="8"/>
      <color indexed="8"/>
      <name val="Arial"/>
      <family val="2"/>
    </font>
    <font>
      <b/>
      <i/>
      <sz val="8"/>
      <color indexed="8"/>
      <name val="Arial"/>
      <family val="2"/>
    </font>
    <font>
      <sz val="1"/>
      <color indexed="9"/>
      <name val="Symbol"/>
      <charset val="2"/>
    </font>
    <font>
      <b/>
      <sz val="8"/>
      <color indexed="9"/>
      <name val="Verdana"/>
      <family val="2"/>
    </font>
    <font>
      <b/>
      <sz val="8"/>
      <name val="Arial"/>
      <family val="2"/>
    </font>
    <font>
      <i/>
      <sz val="8"/>
      <name val="Arial"/>
      <family val="2"/>
    </font>
    <font>
      <b/>
      <sz val="13"/>
      <color indexed="8"/>
      <name val="Verdana"/>
      <family val="2"/>
    </font>
    <font>
      <b/>
      <u/>
      <sz val="8"/>
      <color indexed="8"/>
      <name val="Arial"/>
      <family val="2"/>
    </font>
    <font>
      <sz val="12"/>
      <color theme="1"/>
      <name val="Aptos Narrow"/>
      <family val="2"/>
      <scheme val="minor"/>
    </font>
    <font>
      <sz val="12"/>
      <color theme="0"/>
      <name val="Aptos Narrow"/>
      <family val="2"/>
      <scheme val="minor"/>
    </font>
    <font>
      <b/>
      <sz val="11"/>
      <color theme="1"/>
      <name val="Aptos Narrow"/>
      <family val="2"/>
      <scheme val="minor"/>
    </font>
    <font>
      <b/>
      <sz val="11"/>
      <color theme="0"/>
      <name val="Aptos Narrow"/>
      <family val="2"/>
      <scheme val="minor"/>
    </font>
    <font>
      <sz val="12"/>
      <color indexed="8"/>
      <name val="Aptos Narrow"/>
      <scheme val="minor"/>
    </font>
    <font>
      <b/>
      <sz val="12"/>
      <color theme="0"/>
      <name val="Aptos Narrow"/>
      <scheme val="minor"/>
    </font>
    <font>
      <sz val="11"/>
      <color theme="1"/>
      <name val="Times New Roman"/>
      <family val="1"/>
    </font>
    <font>
      <sz val="11"/>
      <color theme="4"/>
      <name val="Times New Roman"/>
      <family val="1"/>
    </font>
    <font>
      <sz val="11"/>
      <name val="Times New Roman"/>
      <family val="1"/>
    </font>
    <font>
      <sz val="11"/>
      <color rgb="FF0070C0"/>
      <name val="Times New Roman"/>
      <family val="1"/>
    </font>
    <font>
      <sz val="10"/>
      <name val="Arial"/>
      <family val="2"/>
    </font>
    <font>
      <b/>
      <sz val="11"/>
      <color theme="0"/>
      <name val="Times New Roman"/>
      <family val="1"/>
    </font>
    <font>
      <b/>
      <i/>
      <sz val="11"/>
      <color theme="0"/>
      <name val="Times New Roman"/>
      <family val="1"/>
    </font>
    <font>
      <b/>
      <sz val="11"/>
      <color theme="1"/>
      <name val="Times New Roman"/>
      <family val="1"/>
    </font>
    <font>
      <b/>
      <sz val="11"/>
      <name val="Times New Roman"/>
      <family val="1"/>
    </font>
    <font>
      <b/>
      <sz val="11"/>
      <color rgb="FF0070C0"/>
      <name val="Times New Roman"/>
      <family val="1"/>
    </font>
    <font>
      <i/>
      <sz val="11"/>
      <color theme="1"/>
      <name val="Times New Roman"/>
      <family val="1"/>
    </font>
    <font>
      <sz val="11"/>
      <color indexed="8"/>
      <name val="Times New Roman"/>
      <family val="1"/>
    </font>
    <font>
      <sz val="11"/>
      <color rgb="FF000000"/>
      <name val="Times New Roman"/>
      <family val="1"/>
    </font>
    <font>
      <sz val="11"/>
      <color rgb="FF00B050"/>
      <name val="Times New Roman"/>
      <family val="1"/>
    </font>
    <font>
      <sz val="11"/>
      <color theme="9"/>
      <name val="Times New Roman"/>
      <family val="1"/>
    </font>
    <font>
      <b/>
      <sz val="11"/>
      <color rgb="FF000000"/>
      <name val="Times New Roman"/>
      <family val="1"/>
    </font>
    <font>
      <b/>
      <sz val="12"/>
      <color theme="1"/>
      <name val="Aptos Narrow"/>
      <scheme val="minor"/>
    </font>
    <font>
      <sz val="12"/>
      <color theme="9" tint="-0.249977111117893"/>
      <name val="Aptos Narrow"/>
      <family val="2"/>
      <scheme val="minor"/>
    </font>
    <font>
      <b/>
      <sz val="11"/>
      <color theme="9" tint="-0.249977111117893"/>
      <name val="Aptos Narrow"/>
      <family val="2"/>
      <scheme val="minor"/>
    </font>
    <font>
      <b/>
      <sz val="10"/>
      <name val="Arial"/>
      <family val="2"/>
    </font>
    <font>
      <sz val="11"/>
      <color theme="8"/>
      <name val="Times New Roman"/>
      <family val="1"/>
    </font>
    <font>
      <sz val="11"/>
      <color rgb="FF002060"/>
      <name val="Times New Roman"/>
      <family val="1"/>
    </font>
    <font>
      <b/>
      <sz val="20"/>
      <color theme="1"/>
      <name val="Times New Roman"/>
      <family val="1"/>
    </font>
    <font>
      <b/>
      <sz val="11"/>
      <color theme="1"/>
      <name val="Aptos Narrow"/>
      <scheme val="minor"/>
    </font>
    <font>
      <b/>
      <sz val="8"/>
      <color rgb="FF000000"/>
      <name val="Verdana"/>
      <family val="2"/>
    </font>
    <font>
      <sz val="8"/>
      <color theme="1"/>
      <name val="Arial"/>
      <family val="2"/>
    </font>
    <font>
      <sz val="9"/>
      <name val="Arial"/>
      <family val="2"/>
    </font>
    <font>
      <sz val="8"/>
      <color theme="1"/>
      <name val="Aptos Narrow"/>
      <family val="2"/>
      <scheme val="minor"/>
    </font>
  </fonts>
  <fills count="13">
    <fill>
      <patternFill patternType="none"/>
    </fill>
    <fill>
      <patternFill patternType="gray125"/>
    </fill>
    <fill>
      <patternFill patternType="solid">
        <fgColor indexed="56"/>
        <bgColor indexed="64"/>
      </patternFill>
    </fill>
    <fill>
      <patternFill patternType="solid">
        <fgColor theme="7"/>
      </patternFill>
    </fill>
    <fill>
      <patternFill patternType="solid">
        <fgColor theme="5" tint="0.59999389629810485"/>
        <bgColor indexed="64"/>
      </patternFill>
    </fill>
    <fill>
      <patternFill patternType="solid">
        <fgColor rgb="FF002060"/>
        <bgColor indexed="64"/>
      </patternFill>
    </fill>
    <fill>
      <patternFill patternType="solid">
        <fgColor theme="1"/>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
      <patternFill patternType="solid">
        <fgColor theme="5" tint="0.79998168889431442"/>
        <bgColor indexed="65"/>
      </patternFill>
    </fill>
  </fills>
  <borders count="24">
    <border>
      <left/>
      <right/>
      <top/>
      <bottom/>
      <diagonal/>
    </border>
    <border>
      <left/>
      <right/>
      <top style="thin">
        <color indexed="8"/>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theme="0"/>
      </left>
      <right/>
      <top/>
      <bottom style="thin">
        <color indexed="64"/>
      </bottom>
      <diagonal/>
    </border>
    <border>
      <left/>
      <right style="thin">
        <color theme="0"/>
      </right>
      <top/>
      <bottom style="thin">
        <color indexed="64"/>
      </bottom>
      <diagonal/>
    </border>
    <border>
      <left/>
      <right/>
      <top/>
      <bottom style="medium">
        <color auto="1"/>
      </bottom>
      <diagonal/>
    </border>
    <border>
      <left/>
      <right style="thin">
        <color auto="1"/>
      </right>
      <top/>
      <bottom style="thin">
        <color auto="1"/>
      </bottom>
      <diagonal/>
    </border>
    <border>
      <left/>
      <right/>
      <top/>
      <bottom style="thin">
        <color auto="1"/>
      </bottom>
      <diagonal/>
    </border>
    <border>
      <left/>
      <right style="thin">
        <color indexed="64"/>
      </right>
      <top/>
      <bottom/>
      <diagonal/>
    </border>
    <border>
      <left style="thin">
        <color auto="1"/>
      </left>
      <right/>
      <top/>
      <bottom/>
      <diagonal/>
    </border>
    <border>
      <left/>
      <right style="thin">
        <color indexed="64"/>
      </right>
      <top style="thin">
        <color auto="1"/>
      </top>
      <bottom/>
      <diagonal/>
    </border>
    <border>
      <left/>
      <right/>
      <top style="thin">
        <color indexed="64"/>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auto="1"/>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auto="1"/>
      </left>
      <right style="thin">
        <color indexed="64"/>
      </right>
      <top style="thin">
        <color indexed="64"/>
      </top>
      <bottom style="thin">
        <color indexed="64"/>
      </bottom>
      <diagonal/>
    </border>
  </borders>
  <cellStyleXfs count="15">
    <xf numFmtId="0" fontId="0" fillId="0" borderId="0"/>
    <xf numFmtId="0" fontId="2" fillId="0" borderId="0"/>
    <xf numFmtId="0" fontId="8" fillId="0" borderId="0" applyAlignment="0"/>
    <xf numFmtId="9" fontId="14" fillId="0" borderId="0" applyFont="0" applyFill="0" applyBorder="0" applyAlignment="0" applyProtection="0"/>
    <xf numFmtId="0" fontId="15" fillId="3" borderId="0" applyNumberFormat="0" applyBorder="0" applyAlignment="0" applyProtection="0"/>
    <xf numFmtId="0" fontId="1" fillId="0" borderId="0"/>
    <xf numFmtId="0" fontId="24" fillId="0" borderId="0" applyFill="0"/>
    <xf numFmtId="0" fontId="1" fillId="0" borderId="0"/>
    <xf numFmtId="44" fontId="14" fillId="0" borderId="0" applyFont="0" applyFill="0" applyBorder="0" applyAlignment="0" applyProtection="0"/>
    <xf numFmtId="0" fontId="1" fillId="0" borderId="0"/>
    <xf numFmtId="44" fontId="2" fillId="0" borderId="0" applyFont="0" applyFill="0" applyBorder="0" applyAlignment="0" applyProtection="0"/>
    <xf numFmtId="0" fontId="2" fillId="0" borderId="0" applyFill="0"/>
    <xf numFmtId="0" fontId="1" fillId="0" borderId="0"/>
    <xf numFmtId="0" fontId="2" fillId="0" borderId="0" applyFill="0"/>
    <xf numFmtId="0" fontId="14" fillId="12" borderId="0" applyNumberFormat="0" applyBorder="0" applyAlignment="0" applyProtection="0"/>
  </cellStyleXfs>
  <cellXfs count="349">
    <xf numFmtId="0" fontId="0" fillId="0" borderId="0" xfId="0"/>
    <xf numFmtId="0" fontId="3" fillId="0" borderId="0" xfId="1" applyFont="1"/>
    <xf numFmtId="0" fontId="4" fillId="0" borderId="0" xfId="1" applyFont="1" applyAlignment="1">
      <alignment horizontal="center" vertical="center"/>
    </xf>
    <xf numFmtId="0" fontId="3" fillId="0" borderId="0" xfId="1" applyFont="1" applyAlignment="1">
      <alignment vertical="top" wrapText="1"/>
    </xf>
    <xf numFmtId="0" fontId="3" fillId="0" borderId="0" xfId="1" applyFont="1" applyAlignment="1">
      <alignment vertical="top"/>
    </xf>
    <xf numFmtId="0" fontId="4" fillId="0" borderId="0" xfId="1" applyFont="1" applyAlignment="1">
      <alignment horizontal="left" vertical="top"/>
    </xf>
    <xf numFmtId="164" fontId="5" fillId="0" borderId="0" xfId="1" applyNumberFormat="1" applyFont="1" applyAlignment="1">
      <alignment horizontal="right" vertical="top" wrapText="1"/>
    </xf>
    <xf numFmtId="0" fontId="5" fillId="0" borderId="0" xfId="1" applyFont="1" applyAlignment="1">
      <alignment horizontal="left" vertical="top"/>
    </xf>
    <xf numFmtId="164" fontId="4" fillId="0" borderId="0" xfId="1" applyNumberFormat="1" applyFont="1" applyAlignment="1">
      <alignment horizontal="right" vertical="top" wrapText="1"/>
    </xf>
    <xf numFmtId="49" fontId="4" fillId="0" borderId="0" xfId="1" applyNumberFormat="1" applyFont="1" applyAlignment="1">
      <alignment horizontal="right" vertical="top" wrapText="1"/>
    </xf>
    <xf numFmtId="165" fontId="4" fillId="0" borderId="0" xfId="1" applyNumberFormat="1" applyFont="1" applyAlignment="1">
      <alignment horizontal="right" vertical="top" wrapText="1"/>
    </xf>
    <xf numFmtId="166" fontId="4" fillId="0" borderId="0" xfId="1" applyNumberFormat="1" applyFont="1" applyAlignment="1">
      <alignment horizontal="right" vertical="top" wrapText="1"/>
    </xf>
    <xf numFmtId="167" fontId="4" fillId="0" borderId="0" xfId="1" applyNumberFormat="1" applyFont="1" applyAlignment="1">
      <alignment horizontal="right" vertical="top" wrapText="1"/>
    </xf>
    <xf numFmtId="168" fontId="4" fillId="0" borderId="0" xfId="1" applyNumberFormat="1" applyFont="1" applyAlignment="1">
      <alignment horizontal="right" vertical="top" wrapText="1"/>
    </xf>
    <xf numFmtId="169" fontId="4" fillId="0" borderId="0" xfId="1" applyNumberFormat="1" applyFont="1" applyAlignment="1">
      <alignment horizontal="right" vertical="top" wrapText="1"/>
    </xf>
    <xf numFmtId="164" fontId="6" fillId="0" borderId="1" xfId="1" applyNumberFormat="1" applyFont="1" applyBorder="1" applyAlignment="1">
      <alignment horizontal="right" vertical="top" wrapText="1"/>
    </xf>
    <xf numFmtId="164" fontId="5" fillId="0" borderId="1" xfId="1" applyNumberFormat="1" applyFont="1" applyBorder="1" applyAlignment="1">
      <alignment horizontal="right" vertical="top" wrapText="1"/>
    </xf>
    <xf numFmtId="0" fontId="8" fillId="0" borderId="0" xfId="2" applyAlignment="1"/>
    <xf numFmtId="0" fontId="9" fillId="2" borderId="0" xfId="1" applyFont="1" applyFill="1"/>
    <xf numFmtId="0" fontId="4" fillId="0" borderId="0" xfId="1" applyFont="1" applyAlignment="1">
      <alignment horizontal="left" vertical="center"/>
    </xf>
    <xf numFmtId="0" fontId="10" fillId="0" borderId="0" xfId="1" applyFont="1"/>
    <xf numFmtId="49" fontId="3" fillId="0" borderId="0" xfId="1" applyNumberFormat="1" applyFont="1"/>
    <xf numFmtId="0" fontId="11" fillId="0" borderId="0" xfId="1" applyFont="1" applyAlignment="1">
      <alignment wrapText="1"/>
    </xf>
    <xf numFmtId="0" fontId="12" fillId="0" borderId="0" xfId="1" applyFont="1"/>
    <xf numFmtId="170" fontId="4" fillId="0" borderId="0" xfId="1" applyNumberFormat="1" applyFont="1" applyAlignment="1">
      <alignment horizontal="right" vertical="top" wrapText="1"/>
    </xf>
    <xf numFmtId="164" fontId="6" fillId="0" borderId="0" xfId="1" applyNumberFormat="1" applyFont="1" applyAlignment="1">
      <alignment horizontal="right" vertical="top" wrapText="1"/>
    </xf>
    <xf numFmtId="164" fontId="13" fillId="0" borderId="0" xfId="1" applyNumberFormat="1" applyFont="1" applyAlignment="1">
      <alignment horizontal="right" vertical="top" wrapText="1"/>
    </xf>
    <xf numFmtId="0" fontId="5" fillId="4" borderId="0" xfId="1" applyFont="1" applyFill="1" applyAlignment="1">
      <alignment wrapText="1"/>
    </xf>
    <xf numFmtId="0" fontId="5" fillId="4" borderId="0" xfId="1" applyFont="1" applyFill="1" applyAlignment="1">
      <alignment horizontal="right" wrapText="1"/>
    </xf>
    <xf numFmtId="0" fontId="7" fillId="4" borderId="0" xfId="1" applyFont="1" applyFill="1" applyAlignment="1">
      <alignment wrapText="1"/>
    </xf>
    <xf numFmtId="0" fontId="7" fillId="4" borderId="0" xfId="1" applyFont="1" applyFill="1" applyAlignment="1">
      <alignment horizontal="right" wrapText="1"/>
    </xf>
    <xf numFmtId="165" fontId="5" fillId="4" borderId="0" xfId="1" applyNumberFormat="1" applyFont="1" applyFill="1" applyAlignment="1">
      <alignment horizontal="right" wrapText="1"/>
    </xf>
    <xf numFmtId="171" fontId="4" fillId="0" borderId="0" xfId="3" applyNumberFormat="1" applyFont="1" applyAlignment="1">
      <alignment horizontal="right" vertical="top" wrapText="1"/>
    </xf>
    <xf numFmtId="171" fontId="4" fillId="0" borderId="0" xfId="1" applyNumberFormat="1" applyFont="1" applyAlignment="1">
      <alignment horizontal="left" vertical="top"/>
    </xf>
    <xf numFmtId="0" fontId="16" fillId="0" borderId="0" xfId="0" applyFont="1" applyAlignment="1">
      <alignment horizontal="centerContinuous"/>
    </xf>
    <xf numFmtId="0" fontId="4" fillId="0" borderId="0" xfId="1" applyFont="1" applyAlignment="1">
      <alignment horizontal="center" vertical="center" wrapText="1"/>
    </xf>
    <xf numFmtId="172" fontId="4" fillId="0" borderId="0" xfId="1" applyNumberFormat="1" applyFont="1" applyAlignment="1">
      <alignment horizontal="right" vertical="top" wrapText="1"/>
    </xf>
    <xf numFmtId="0" fontId="0" fillId="0" borderId="0" xfId="0" applyAlignment="1">
      <alignment horizontal="centerContinuous"/>
    </xf>
    <xf numFmtId="0" fontId="17" fillId="0" borderId="0" xfId="0" applyFont="1"/>
    <xf numFmtId="0" fontId="16" fillId="0" borderId="0" xfId="0" applyFont="1"/>
    <xf numFmtId="0" fontId="18" fillId="0" borderId="0" xfId="1" applyFont="1" applyAlignment="1">
      <alignment horizontal="left" vertical="top"/>
    </xf>
    <xf numFmtId="0" fontId="20" fillId="0" borderId="0" xfId="5" applyFont="1"/>
    <xf numFmtId="175" fontId="20" fillId="0" borderId="0" xfId="5" applyNumberFormat="1" applyFont="1"/>
    <xf numFmtId="10" fontId="20" fillId="0" borderId="0" xfId="5" applyNumberFormat="1" applyFont="1"/>
    <xf numFmtId="0" fontId="20" fillId="0" borderId="0" xfId="5" applyFont="1" applyAlignment="1">
      <alignment horizontal="right"/>
    </xf>
    <xf numFmtId="176" fontId="21" fillId="0" borderId="0" xfId="5" applyNumberFormat="1" applyFont="1"/>
    <xf numFmtId="176" fontId="22" fillId="0" borderId="0" xfId="5" applyNumberFormat="1" applyFont="1"/>
    <xf numFmtId="0" fontId="20" fillId="0" borderId="0" xfId="5" applyFont="1" applyAlignment="1">
      <alignment horizontal="centerContinuous"/>
    </xf>
    <xf numFmtId="177" fontId="22" fillId="0" borderId="0" xfId="5" applyNumberFormat="1" applyFont="1"/>
    <xf numFmtId="177" fontId="23" fillId="0" borderId="0" xfId="5" applyNumberFormat="1" applyFont="1"/>
    <xf numFmtId="39" fontId="20" fillId="0" borderId="0" xfId="5" applyNumberFormat="1" applyFont="1"/>
    <xf numFmtId="39" fontId="23" fillId="0" borderId="0" xfId="6" applyNumberFormat="1" applyFont="1" applyFill="1"/>
    <xf numFmtId="0" fontId="25" fillId="5" borderId="0" xfId="5" applyFont="1" applyFill="1" applyAlignment="1">
      <alignment horizontal="centerContinuous"/>
    </xf>
    <xf numFmtId="0" fontId="26" fillId="5" borderId="0" xfId="5" applyFont="1" applyFill="1" applyAlignment="1">
      <alignment horizontal="centerContinuous"/>
    </xf>
    <xf numFmtId="0" fontId="20" fillId="0" borderId="0" xfId="6" applyFont="1"/>
    <xf numFmtId="39" fontId="27" fillId="0" borderId="0" xfId="6" applyNumberFormat="1" applyFont="1"/>
    <xf numFmtId="39" fontId="20" fillId="0" borderId="0" xfId="6" applyNumberFormat="1" applyFont="1"/>
    <xf numFmtId="0" fontId="27" fillId="0" borderId="0" xfId="6" applyFont="1"/>
    <xf numFmtId="178" fontId="22" fillId="0" borderId="0" xfId="6" applyNumberFormat="1" applyFont="1"/>
    <xf numFmtId="178" fontId="20" fillId="0" borderId="0" xfId="6" applyNumberFormat="1" applyFont="1"/>
    <xf numFmtId="179" fontId="20" fillId="0" borderId="0" xfId="6" applyNumberFormat="1" applyFont="1"/>
    <xf numFmtId="2" fontId="20" fillId="0" borderId="0" xfId="6" applyNumberFormat="1" applyFont="1"/>
    <xf numFmtId="179" fontId="23" fillId="0" borderId="0" xfId="6" applyNumberFormat="1" applyFont="1" applyFill="1"/>
    <xf numFmtId="179" fontId="23" fillId="0" borderId="0" xfId="6" applyNumberFormat="1" applyFont="1"/>
    <xf numFmtId="0" fontId="27" fillId="0" borderId="7" xfId="6" applyFont="1" applyBorder="1" applyAlignment="1">
      <alignment horizontal="center"/>
    </xf>
    <xf numFmtId="180" fontId="27" fillId="0" borderId="7" xfId="6" applyNumberFormat="1" applyFont="1" applyBorder="1" applyAlignment="1">
      <alignment horizontal="center"/>
    </xf>
    <xf numFmtId="0" fontId="27" fillId="0" borderId="7" xfId="6" applyFont="1" applyBorder="1"/>
    <xf numFmtId="0" fontId="27" fillId="0" borderId="0" xfId="6" applyFont="1" applyFill="1" applyAlignment="1">
      <alignment horizontal="center"/>
    </xf>
    <xf numFmtId="0" fontId="27" fillId="0" borderId="0" xfId="6" applyFont="1" applyAlignment="1">
      <alignment horizontal="center"/>
    </xf>
    <xf numFmtId="9" fontId="20" fillId="0" borderId="0" xfId="5" applyNumberFormat="1" applyFont="1"/>
    <xf numFmtId="0" fontId="27" fillId="0" borderId="0" xfId="5" applyFont="1"/>
    <xf numFmtId="0" fontId="25" fillId="0" borderId="0" xfId="5" applyFont="1" applyAlignment="1">
      <alignment horizontal="centerContinuous"/>
    </xf>
    <xf numFmtId="0" fontId="26" fillId="0" borderId="0" xfId="5" applyFont="1" applyAlignment="1">
      <alignment horizontal="centerContinuous"/>
    </xf>
    <xf numFmtId="175" fontId="20" fillId="0" borderId="8" xfId="5" applyNumberFormat="1" applyFont="1" applyBorder="1"/>
    <xf numFmtId="0" fontId="20" fillId="0" borderId="9" xfId="5" applyFont="1" applyBorder="1"/>
    <xf numFmtId="0" fontId="20" fillId="0" borderId="3" xfId="5" applyFont="1" applyBorder="1"/>
    <xf numFmtId="0" fontId="20" fillId="0" borderId="11" xfId="5" applyFont="1" applyBorder="1"/>
    <xf numFmtId="0" fontId="20" fillId="0" borderId="12" xfId="5" applyFont="1" applyBorder="1"/>
    <xf numFmtId="0" fontId="20" fillId="0" borderId="13" xfId="5" applyFont="1" applyBorder="1"/>
    <xf numFmtId="0" fontId="27" fillId="0" borderId="4" xfId="5" applyFont="1" applyBorder="1"/>
    <xf numFmtId="176" fontId="20" fillId="0" borderId="0" xfId="5" applyNumberFormat="1" applyFont="1"/>
    <xf numFmtId="0" fontId="27" fillId="0" borderId="0" xfId="5" applyFont="1" applyAlignment="1">
      <alignment horizontal="center"/>
    </xf>
    <xf numFmtId="0" fontId="27" fillId="0" borderId="12" xfId="5" applyFont="1" applyBorder="1" applyAlignment="1">
      <alignment horizontal="center"/>
    </xf>
    <xf numFmtId="181" fontId="28" fillId="0" borderId="0" xfId="5" applyNumberFormat="1" applyFont="1" applyAlignment="1">
      <alignment horizontal="center"/>
    </xf>
    <xf numFmtId="0" fontId="27" fillId="0" borderId="14" xfId="5" applyFont="1" applyBorder="1" applyAlignment="1">
      <alignment horizontal="centerContinuous"/>
    </xf>
    <xf numFmtId="0" fontId="27" fillId="0" borderId="15" xfId="5" applyFont="1" applyBorder="1" applyAlignment="1">
      <alignment horizontal="centerContinuous"/>
    </xf>
    <xf numFmtId="0" fontId="27" fillId="0" borderId="16" xfId="5" applyFont="1" applyBorder="1" applyAlignment="1">
      <alignment horizontal="centerContinuous"/>
    </xf>
    <xf numFmtId="179" fontId="20" fillId="0" borderId="0" xfId="5" applyNumberFormat="1" applyFont="1"/>
    <xf numFmtId="5" fontId="20" fillId="0" borderId="0" xfId="5" applyNumberFormat="1" applyFont="1"/>
    <xf numFmtId="0" fontId="20" fillId="0" borderId="8" xfId="5" applyFont="1" applyBorder="1"/>
    <xf numFmtId="0" fontId="20" fillId="0" borderId="10" xfId="5" applyFont="1" applyBorder="1"/>
    <xf numFmtId="0" fontId="28" fillId="0" borderId="0" xfId="5" applyFont="1" applyAlignment="1">
      <alignment horizontal="center"/>
    </xf>
    <xf numFmtId="179" fontId="22" fillId="0" borderId="0" xfId="5" applyNumberFormat="1" applyFont="1"/>
    <xf numFmtId="9" fontId="23" fillId="0" borderId="0" xfId="5" applyNumberFormat="1" applyFont="1"/>
    <xf numFmtId="0" fontId="27" fillId="0" borderId="13" xfId="5" applyFont="1" applyBorder="1"/>
    <xf numFmtId="182" fontId="27" fillId="0" borderId="13" xfId="5" applyNumberFormat="1" applyFont="1" applyBorder="1" applyAlignment="1">
      <alignment horizontal="center"/>
    </xf>
    <xf numFmtId="181" fontId="27" fillId="0" borderId="12" xfId="5" applyNumberFormat="1" applyFont="1" applyBorder="1" applyAlignment="1">
      <alignment horizontal="center"/>
    </xf>
    <xf numFmtId="181" fontId="27" fillId="0" borderId="13" xfId="5" applyNumberFormat="1" applyFont="1" applyBorder="1" applyAlignment="1">
      <alignment horizontal="center"/>
    </xf>
    <xf numFmtId="181" fontId="29" fillId="0" borderId="13" xfId="5" applyNumberFormat="1" applyFont="1" applyBorder="1" applyAlignment="1">
      <alignment horizontal="center"/>
    </xf>
    <xf numFmtId="0" fontId="30" fillId="0" borderId="0" xfId="5" applyFont="1"/>
    <xf numFmtId="14" fontId="20" fillId="0" borderId="8" xfId="5" applyNumberFormat="1" applyFont="1" applyBorder="1" applyAlignment="1">
      <alignment horizontal="left"/>
    </xf>
    <xf numFmtId="0" fontId="20" fillId="0" borderId="10" xfId="5" applyFont="1" applyBorder="1" applyAlignment="1">
      <alignment horizontal="left"/>
    </xf>
    <xf numFmtId="0" fontId="20" fillId="0" borderId="12" xfId="5" applyFont="1" applyBorder="1" applyAlignment="1">
      <alignment horizontal="left"/>
    </xf>
    <xf numFmtId="0" fontId="20" fillId="0" borderId="4" xfId="5" applyFont="1" applyBorder="1"/>
    <xf numFmtId="0" fontId="31" fillId="0" borderId="0" xfId="1" applyFont="1" applyAlignment="1">
      <alignment horizontal="left" vertical="top"/>
    </xf>
    <xf numFmtId="0" fontId="32" fillId="0" borderId="0" xfId="5" applyFont="1"/>
    <xf numFmtId="0" fontId="20" fillId="0" borderId="0" xfId="7" applyFont="1"/>
    <xf numFmtId="171" fontId="20" fillId="0" borderId="0" xfId="5" applyNumberFormat="1" applyFont="1"/>
    <xf numFmtId="171" fontId="20" fillId="0" borderId="10" xfId="5" applyNumberFormat="1" applyFont="1" applyBorder="1"/>
    <xf numFmtId="0" fontId="20" fillId="0" borderId="18" xfId="5" applyFont="1" applyBorder="1"/>
    <xf numFmtId="0" fontId="27" fillId="0" borderId="18" xfId="5" applyFont="1" applyBorder="1"/>
    <xf numFmtId="176" fontId="23" fillId="0" borderId="0" xfId="5" applyNumberFormat="1" applyFont="1"/>
    <xf numFmtId="175" fontId="33" fillId="0" borderId="0" xfId="5" applyNumberFormat="1" applyFont="1"/>
    <xf numFmtId="175" fontId="33" fillId="0" borderId="10" xfId="5" applyNumberFormat="1" applyFont="1" applyBorder="1"/>
    <xf numFmtId="179" fontId="33" fillId="0" borderId="0" xfId="5" applyNumberFormat="1" applyFont="1"/>
    <xf numFmtId="179" fontId="28" fillId="0" borderId="18" xfId="5" applyNumberFormat="1" applyFont="1" applyBorder="1"/>
    <xf numFmtId="179" fontId="28" fillId="0" borderId="17" xfId="5" applyNumberFormat="1" applyFont="1" applyBorder="1"/>
    <xf numFmtId="179" fontId="22" fillId="0" borderId="10" xfId="5" applyNumberFormat="1" applyFont="1" applyBorder="1"/>
    <xf numFmtId="179" fontId="22" fillId="0" borderId="18" xfId="5" applyNumberFormat="1" applyFont="1" applyBorder="1"/>
    <xf numFmtId="179" fontId="22" fillId="0" borderId="17" xfId="5" applyNumberFormat="1" applyFont="1" applyBorder="1"/>
    <xf numFmtId="175" fontId="28" fillId="0" borderId="0" xfId="5" applyNumberFormat="1" applyFont="1"/>
    <xf numFmtId="175" fontId="28" fillId="0" borderId="10" xfId="5" applyNumberFormat="1" applyFont="1" applyBorder="1"/>
    <xf numFmtId="179" fontId="28" fillId="0" borderId="0" xfId="5" applyNumberFormat="1" applyFont="1"/>
    <xf numFmtId="179" fontId="28" fillId="0" borderId="9" xfId="5" applyNumberFormat="1" applyFont="1" applyBorder="1"/>
    <xf numFmtId="179" fontId="28" fillId="0" borderId="8" xfId="5" applyNumberFormat="1" applyFont="1" applyBorder="1"/>
    <xf numFmtId="179" fontId="28" fillId="0" borderId="3" xfId="5" applyNumberFormat="1" applyFont="1" applyBorder="1"/>
    <xf numFmtId="183" fontId="22" fillId="0" borderId="0" xfId="5" applyNumberFormat="1" applyFont="1"/>
    <xf numFmtId="183" fontId="33" fillId="0" borderId="0" xfId="5" applyNumberFormat="1" applyFont="1"/>
    <xf numFmtId="183" fontId="33" fillId="0" borderId="10" xfId="5" applyNumberFormat="1" applyFont="1" applyBorder="1"/>
    <xf numFmtId="184" fontId="22" fillId="0" borderId="0" xfId="6" applyNumberFormat="1" applyFont="1"/>
    <xf numFmtId="185" fontId="22" fillId="0" borderId="0" xfId="6" applyNumberFormat="1" applyFont="1"/>
    <xf numFmtId="43" fontId="22" fillId="0" borderId="0" xfId="6" applyNumberFormat="1" applyFont="1"/>
    <xf numFmtId="0" fontId="22" fillId="0" borderId="0" xfId="6" applyFont="1"/>
    <xf numFmtId="183" fontId="22" fillId="0" borderId="0" xfId="6" applyNumberFormat="1" applyFont="1"/>
    <xf numFmtId="0" fontId="22" fillId="0" borderId="10" xfId="6" applyFont="1" applyBorder="1"/>
    <xf numFmtId="171" fontId="22" fillId="0" borderId="0" xfId="6" applyNumberFormat="1" applyFont="1"/>
    <xf numFmtId="171" fontId="22" fillId="0" borderId="10" xfId="6" applyNumberFormat="1" applyFont="1" applyBorder="1"/>
    <xf numFmtId="171" fontId="22" fillId="0" borderId="11" xfId="6" applyNumberFormat="1" applyFont="1" applyBorder="1"/>
    <xf numFmtId="179" fontId="20" fillId="0" borderId="10" xfId="5" applyNumberFormat="1" applyFont="1" applyBorder="1"/>
    <xf numFmtId="185" fontId="20" fillId="0" borderId="18" xfId="5" applyNumberFormat="1" applyFont="1" applyBorder="1"/>
    <xf numFmtId="183" fontId="33" fillId="0" borderId="9" xfId="8" applyNumberFormat="1" applyFont="1" applyBorder="1"/>
    <xf numFmtId="183" fontId="33" fillId="0" borderId="8" xfId="8" applyNumberFormat="1" applyFont="1" applyBorder="1"/>
    <xf numFmtId="44" fontId="22" fillId="0" borderId="0" xfId="0" applyNumberFormat="1" applyFont="1"/>
    <xf numFmtId="7" fontId="22" fillId="0" borderId="0" xfId="0" applyNumberFormat="1" applyFont="1"/>
    <xf numFmtId="42" fontId="34" fillId="0" borderId="0" xfId="5" applyNumberFormat="1" applyFont="1" applyAlignment="1">
      <alignment horizontal="right"/>
    </xf>
    <xf numFmtId="0" fontId="22" fillId="0" borderId="0" xfId="0" applyFont="1"/>
    <xf numFmtId="185" fontId="28" fillId="0" borderId="18" xfId="6" applyNumberFormat="1" applyFont="1" applyBorder="1"/>
    <xf numFmtId="9" fontId="20" fillId="0" borderId="0" xfId="6" applyNumberFormat="1" applyFont="1"/>
    <xf numFmtId="9" fontId="23" fillId="0" borderId="0" xfId="6" applyNumberFormat="1" applyFont="1"/>
    <xf numFmtId="0" fontId="20" fillId="0" borderId="0" xfId="6" applyFont="1" applyAlignment="1">
      <alignment horizontal="centerContinuous"/>
    </xf>
    <xf numFmtId="3" fontId="20" fillId="0" borderId="0" xfId="6" applyNumberFormat="1" applyFont="1"/>
    <xf numFmtId="187" fontId="20" fillId="0" borderId="0" xfId="5" applyNumberFormat="1" applyFont="1"/>
    <xf numFmtId="39" fontId="22" fillId="0" borderId="0" xfId="0" applyNumberFormat="1" applyFont="1"/>
    <xf numFmtId="0" fontId="23" fillId="0" borderId="0" xfId="6" applyFont="1"/>
    <xf numFmtId="2" fontId="23" fillId="0" borderId="0" xfId="6" applyNumberFormat="1" applyFont="1"/>
    <xf numFmtId="178" fontId="20" fillId="0" borderId="10" xfId="5" applyNumberFormat="1" applyFont="1" applyBorder="1"/>
    <xf numFmtId="176" fontId="23" fillId="0" borderId="10" xfId="5" applyNumberFormat="1" applyFont="1" applyBorder="1"/>
    <xf numFmtId="173" fontId="23" fillId="0" borderId="10" xfId="0" applyNumberFormat="1" applyFont="1" applyBorder="1"/>
    <xf numFmtId="186" fontId="23" fillId="0" borderId="19" xfId="0" applyNumberFormat="1" applyFont="1" applyBorder="1"/>
    <xf numFmtId="186" fontId="23" fillId="0" borderId="10" xfId="0" applyNumberFormat="1" applyFont="1" applyBorder="1"/>
    <xf numFmtId="176" fontId="23" fillId="0" borderId="8" xfId="5" applyNumberFormat="1" applyFont="1" applyBorder="1" applyAlignment="1">
      <alignment horizontal="right"/>
    </xf>
    <xf numFmtId="188" fontId="22" fillId="0" borderId="10" xfId="0" applyNumberFormat="1" applyFont="1" applyBorder="1"/>
    <xf numFmtId="187" fontId="20" fillId="0" borderId="10" xfId="5" applyNumberFormat="1" applyFont="1" applyBorder="1"/>
    <xf numFmtId="44" fontId="20" fillId="0" borderId="8" xfId="5" applyNumberFormat="1" applyFont="1" applyBorder="1"/>
    <xf numFmtId="178" fontId="23" fillId="0" borderId="2" xfId="6" applyNumberFormat="1" applyFont="1" applyBorder="1"/>
    <xf numFmtId="9" fontId="23" fillId="0" borderId="20" xfId="6" applyNumberFormat="1" applyFont="1" applyBorder="1"/>
    <xf numFmtId="176" fontId="23" fillId="0" borderId="0" xfId="6" applyNumberFormat="1" applyFont="1"/>
    <xf numFmtId="186" fontId="20" fillId="0" borderId="0" xfId="0" applyNumberFormat="1" applyFont="1"/>
    <xf numFmtId="176" fontId="20" fillId="0" borderId="10" xfId="5" applyNumberFormat="1" applyFont="1" applyBorder="1"/>
    <xf numFmtId="188" fontId="20" fillId="0" borderId="10" xfId="5" applyNumberFormat="1" applyFont="1" applyBorder="1"/>
    <xf numFmtId="188" fontId="34" fillId="0" borderId="0" xfId="5" applyNumberFormat="1" applyFont="1" applyAlignment="1">
      <alignment horizontal="right"/>
    </xf>
    <xf numFmtId="179" fontId="34" fillId="0" borderId="9" xfId="5" applyNumberFormat="1" applyFont="1" applyBorder="1" applyAlignment="1">
      <alignment horizontal="right"/>
    </xf>
    <xf numFmtId="179" fontId="34" fillId="0" borderId="0" xfId="5" applyNumberFormat="1" applyFont="1" applyAlignment="1">
      <alignment horizontal="right"/>
    </xf>
    <xf numFmtId="179" fontId="34" fillId="0" borderId="10" xfId="5" applyNumberFormat="1" applyFont="1" applyBorder="1" applyAlignment="1">
      <alignment horizontal="right"/>
    </xf>
    <xf numFmtId="179" fontId="34" fillId="0" borderId="8" xfId="5" applyNumberFormat="1" applyFont="1" applyBorder="1" applyAlignment="1">
      <alignment horizontal="right"/>
    </xf>
    <xf numFmtId="188" fontId="34" fillId="0" borderId="10" xfId="5" applyNumberFormat="1" applyFont="1" applyBorder="1" applyAlignment="1">
      <alignment horizontal="right"/>
    </xf>
    <xf numFmtId="42" fontId="22" fillId="0" borderId="18" xfId="0" applyNumberFormat="1" applyFont="1" applyBorder="1"/>
    <xf numFmtId="42" fontId="22" fillId="0" borderId="21" xfId="0" applyNumberFormat="1" applyFont="1" applyBorder="1"/>
    <xf numFmtId="42" fontId="22" fillId="0" borderId="22" xfId="0" applyNumberFormat="1" applyFont="1" applyBorder="1"/>
    <xf numFmtId="179" fontId="22" fillId="0" borderId="0" xfId="0" applyNumberFormat="1" applyFont="1"/>
    <xf numFmtId="179" fontId="22" fillId="0" borderId="21" xfId="0" applyNumberFormat="1" applyFont="1" applyBorder="1"/>
    <xf numFmtId="188" fontId="20" fillId="0" borderId="0" xfId="5" applyNumberFormat="1" applyFont="1"/>
    <xf numFmtId="7" fontId="20" fillId="0" borderId="0" xfId="5" applyNumberFormat="1" applyFont="1"/>
    <xf numFmtId="183" fontId="33" fillId="0" borderId="0" xfId="8" applyNumberFormat="1" applyFont="1" applyBorder="1"/>
    <xf numFmtId="183" fontId="33" fillId="0" borderId="10" xfId="8" applyNumberFormat="1" applyFont="1" applyBorder="1"/>
    <xf numFmtId="184" fontId="20" fillId="0" borderId="10" xfId="5" applyNumberFormat="1" applyFont="1" applyBorder="1"/>
    <xf numFmtId="190" fontId="20" fillId="0" borderId="10" xfId="5" applyNumberFormat="1" applyFont="1" applyBorder="1"/>
    <xf numFmtId="179" fontId="34" fillId="0" borderId="10" xfId="5" applyNumberFormat="1" applyFont="1" applyBorder="1"/>
    <xf numFmtId="37" fontId="22" fillId="0" borderId="10" xfId="6" applyNumberFormat="1" applyFont="1" applyBorder="1"/>
    <xf numFmtId="187" fontId="22" fillId="0" borderId="10" xfId="6" applyNumberFormat="1" applyFont="1" applyBorder="1"/>
    <xf numFmtId="0" fontId="36" fillId="0" borderId="0" xfId="0" applyFont="1" applyAlignment="1">
      <alignment horizontal="center" vertical="center"/>
    </xf>
    <xf numFmtId="0" fontId="0" fillId="0" borderId="0" xfId="0" quotePrefix="1"/>
    <xf numFmtId="191" fontId="20" fillId="0" borderId="10" xfId="5" applyNumberFormat="1" applyFont="1" applyBorder="1"/>
    <xf numFmtId="0" fontId="0" fillId="0" borderId="2" xfId="0" applyBorder="1"/>
    <xf numFmtId="0" fontId="0" fillId="0" borderId="3" xfId="0" applyBorder="1"/>
    <xf numFmtId="173" fontId="0" fillId="0" borderId="4" xfId="0" applyNumberFormat="1" applyBorder="1"/>
    <xf numFmtId="0" fontId="17" fillId="6" borderId="6" xfId="0" applyFont="1" applyFill="1" applyBorder="1"/>
    <xf numFmtId="0" fontId="17" fillId="6" borderId="5" xfId="0" applyFont="1" applyFill="1" applyBorder="1"/>
    <xf numFmtId="0" fontId="17" fillId="6" borderId="5" xfId="0" applyFont="1" applyFill="1" applyBorder="1" applyAlignment="1">
      <alignment horizontal="right" wrapText="1"/>
    </xf>
    <xf numFmtId="171" fontId="0" fillId="7" borderId="4" xfId="0" applyNumberFormat="1" applyFill="1" applyBorder="1"/>
    <xf numFmtId="173" fontId="37" fillId="0" borderId="2" xfId="0" applyNumberFormat="1" applyFont="1" applyBorder="1"/>
    <xf numFmtId="0" fontId="37" fillId="7" borderId="4" xfId="0" applyFont="1" applyFill="1" applyBorder="1"/>
    <xf numFmtId="0" fontId="37" fillId="0" borderId="4" xfId="0" applyFont="1" applyBorder="1"/>
    <xf numFmtId="174" fontId="37" fillId="0" borderId="2" xfId="0" applyNumberFormat="1" applyFont="1" applyBorder="1"/>
    <xf numFmtId="0" fontId="38" fillId="7" borderId="4" xfId="0" applyFont="1" applyFill="1" applyBorder="1"/>
    <xf numFmtId="171" fontId="37" fillId="7" borderId="4" xfId="0" applyNumberFormat="1" applyFont="1" applyFill="1" applyBorder="1"/>
    <xf numFmtId="173" fontId="37" fillId="7" borderId="4" xfId="0" applyNumberFormat="1" applyFont="1" applyFill="1" applyBorder="1"/>
    <xf numFmtId="173" fontId="37" fillId="0" borderId="0" xfId="0" applyNumberFormat="1" applyFont="1"/>
    <xf numFmtId="174" fontId="37" fillId="0" borderId="0" xfId="0" applyNumberFormat="1" applyFont="1"/>
    <xf numFmtId="171" fontId="37" fillId="0" borderId="0" xfId="0" applyNumberFormat="1" applyFont="1"/>
    <xf numFmtId="0" fontId="37" fillId="0" borderId="0" xfId="0" applyFont="1"/>
    <xf numFmtId="0" fontId="19" fillId="6" borderId="0" xfId="4" applyFont="1" applyFill="1" applyBorder="1" applyAlignment="1">
      <alignment horizontal="centerContinuous" vertical="center"/>
    </xf>
    <xf numFmtId="0" fontId="16" fillId="0" borderId="3" xfId="0" applyFont="1" applyBorder="1" applyAlignment="1">
      <alignment vertical="center"/>
    </xf>
    <xf numFmtId="0" fontId="16" fillId="0" borderId="23" xfId="0" applyFont="1" applyBorder="1" applyAlignment="1">
      <alignment vertical="center"/>
    </xf>
    <xf numFmtId="171" fontId="23" fillId="0" borderId="0" xfId="0" applyNumberFormat="1" applyFont="1"/>
    <xf numFmtId="0" fontId="22" fillId="0" borderId="8" xfId="6" applyFont="1" applyBorder="1"/>
    <xf numFmtId="8" fontId="22" fillId="0" borderId="8" xfId="6" applyNumberFormat="1" applyFont="1" applyBorder="1"/>
    <xf numFmtId="44" fontId="22" fillId="0" borderId="0" xfId="6" applyNumberFormat="1" applyFont="1"/>
    <xf numFmtId="43" fontId="22" fillId="0" borderId="18" xfId="6" applyNumberFormat="1" applyFont="1" applyBorder="1"/>
    <xf numFmtId="43" fontId="22" fillId="0" borderId="17" xfId="6" applyNumberFormat="1" applyFont="1" applyBorder="1"/>
    <xf numFmtId="43" fontId="22" fillId="0" borderId="10" xfId="6" applyNumberFormat="1" applyFont="1" applyBorder="1"/>
    <xf numFmtId="185" fontId="22" fillId="0" borderId="10" xfId="6" applyNumberFormat="1" applyFont="1" applyBorder="1"/>
    <xf numFmtId="0" fontId="22" fillId="0" borderId="0" xfId="6" applyFont="1" applyFill="1"/>
    <xf numFmtId="187" fontId="23" fillId="0" borderId="10" xfId="6" applyNumberFormat="1" applyFont="1" applyBorder="1"/>
    <xf numFmtId="189" fontId="23" fillId="0" borderId="10" xfId="8" applyNumberFormat="1" applyFont="1" applyBorder="1"/>
    <xf numFmtId="189" fontId="22" fillId="0" borderId="10" xfId="8" applyNumberFormat="1" applyFont="1" applyBorder="1"/>
    <xf numFmtId="189" fontId="20" fillId="0" borderId="10" xfId="8" applyNumberFormat="1" applyFont="1" applyBorder="1"/>
    <xf numFmtId="44" fontId="22" fillId="0" borderId="10" xfId="6" applyNumberFormat="1" applyFont="1" applyBorder="1"/>
    <xf numFmtId="9" fontId="22" fillId="0" borderId="0" xfId="6" applyNumberFormat="1" applyFont="1"/>
    <xf numFmtId="2" fontId="22" fillId="0" borderId="0" xfId="6" applyNumberFormat="1" applyFont="1"/>
    <xf numFmtId="174" fontId="0" fillId="0" borderId="0" xfId="0" applyNumberFormat="1"/>
    <xf numFmtId="0" fontId="2" fillId="0" borderId="0" xfId="11"/>
    <xf numFmtId="0" fontId="22" fillId="0" borderId="0" xfId="11" applyFont="1" applyAlignment="1">
      <alignment wrapText="1"/>
    </xf>
    <xf numFmtId="0" fontId="22" fillId="0" borderId="0" xfId="11" applyFont="1"/>
    <xf numFmtId="0" fontId="2" fillId="0" borderId="0" xfId="11" applyAlignment="1">
      <alignment horizontal="left" vertical="center" wrapText="1"/>
    </xf>
    <xf numFmtId="0" fontId="22" fillId="0" borderId="0" xfId="11" applyFont="1" applyAlignment="1">
      <alignment vertical="center" wrapText="1"/>
    </xf>
    <xf numFmtId="0" fontId="22" fillId="0" borderId="0" xfId="11" applyFont="1" applyAlignment="1">
      <alignment vertical="center"/>
    </xf>
    <xf numFmtId="0" fontId="28" fillId="0" borderId="9" xfId="11" applyFont="1" applyBorder="1"/>
    <xf numFmtId="0" fontId="39" fillId="0" borderId="0" xfId="11" applyFont="1"/>
    <xf numFmtId="0" fontId="2" fillId="0" borderId="14" xfId="11" applyBorder="1"/>
    <xf numFmtId="0" fontId="39" fillId="0" borderId="16" xfId="11" applyFont="1" applyBorder="1"/>
    <xf numFmtId="0" fontId="2" fillId="0" borderId="0" xfId="11" applyAlignment="1">
      <alignment vertical="top"/>
    </xf>
    <xf numFmtId="171" fontId="22" fillId="0" borderId="0" xfId="11" applyNumberFormat="1" applyFont="1" applyFill="1"/>
    <xf numFmtId="0" fontId="22" fillId="0" borderId="0" xfId="11" applyFont="1" applyFill="1"/>
    <xf numFmtId="0" fontId="22" fillId="0" borderId="0" xfId="11" applyFont="1" applyAlignment="1">
      <alignment vertical="top"/>
    </xf>
    <xf numFmtId="0" fontId="31" fillId="0" borderId="0" xfId="11" applyFont="1" applyAlignment="1">
      <alignment horizontal="left" vertical="top"/>
    </xf>
    <xf numFmtId="49" fontId="22" fillId="0" borderId="0" xfId="11" applyNumberFormat="1" applyFont="1"/>
    <xf numFmtId="0" fontId="28" fillId="0" borderId="0" xfId="11" applyFont="1"/>
    <xf numFmtId="0" fontId="1" fillId="0" borderId="0" xfId="12"/>
    <xf numFmtId="173" fontId="40" fillId="0" borderId="0" xfId="12" applyNumberFormat="1" applyFont="1"/>
    <xf numFmtId="179" fontId="20" fillId="0" borderId="0" xfId="12" applyNumberFormat="1" applyFont="1"/>
    <xf numFmtId="7" fontId="22" fillId="0" borderId="0" xfId="12" applyNumberFormat="1" applyFont="1"/>
    <xf numFmtId="0" fontId="20" fillId="0" borderId="0" xfId="12" applyFont="1"/>
    <xf numFmtId="0" fontId="27" fillId="0" borderId="0" xfId="12" applyFont="1"/>
    <xf numFmtId="0" fontId="27" fillId="0" borderId="0" xfId="12" applyFont="1" applyAlignment="1">
      <alignment horizontal="center" wrapText="1"/>
    </xf>
    <xf numFmtId="177" fontId="20" fillId="0" borderId="0" xfId="12" applyNumberFormat="1" applyFont="1"/>
    <xf numFmtId="39" fontId="41" fillId="0" borderId="0" xfId="12" applyNumberFormat="1" applyFont="1"/>
    <xf numFmtId="179" fontId="41" fillId="0" borderId="0" xfId="12" applyNumberFormat="1" applyFont="1"/>
    <xf numFmtId="173" fontId="20" fillId="0" borderId="8" xfId="12" applyNumberFormat="1" applyFont="1" applyBorder="1"/>
    <xf numFmtId="173" fontId="20" fillId="0" borderId="9" xfId="12" applyNumberFormat="1" applyFont="1" applyBorder="1"/>
    <xf numFmtId="173" fontId="20" fillId="0" borderId="3" xfId="12" applyNumberFormat="1" applyFont="1" applyBorder="1"/>
    <xf numFmtId="179" fontId="20" fillId="0" borderId="0" xfId="12" applyNumberFormat="1" applyFont="1" applyAlignment="1">
      <alignment horizontal="right"/>
    </xf>
    <xf numFmtId="173" fontId="20" fillId="0" borderId="21" xfId="12" applyNumberFormat="1" applyFont="1" applyBorder="1"/>
    <xf numFmtId="173" fontId="20" fillId="0" borderId="22" xfId="12" applyNumberFormat="1" applyFont="1" applyBorder="1"/>
    <xf numFmtId="173" fontId="20" fillId="0" borderId="4" xfId="12" applyNumberFormat="1" applyFont="1" applyBorder="1"/>
    <xf numFmtId="37" fontId="23" fillId="0" borderId="0" xfId="12" applyNumberFormat="1" applyFont="1"/>
    <xf numFmtId="39" fontId="23" fillId="0" borderId="0" xfId="12" applyNumberFormat="1" applyFont="1"/>
    <xf numFmtId="0" fontId="2" fillId="0" borderId="0" xfId="13"/>
    <xf numFmtId="173" fontId="20" fillId="0" borderId="0" xfId="12" applyNumberFormat="1" applyFont="1"/>
    <xf numFmtId="188" fontId="23" fillId="0" borderId="0" xfId="12" applyNumberFormat="1" applyFont="1"/>
    <xf numFmtId="176" fontId="23" fillId="0" borderId="0" xfId="12" applyNumberFormat="1" applyFont="1"/>
    <xf numFmtId="7" fontId="23" fillId="0" borderId="0" xfId="12" applyNumberFormat="1" applyFont="1"/>
    <xf numFmtId="188" fontId="20" fillId="0" borderId="0" xfId="12" applyNumberFormat="1" applyFont="1"/>
    <xf numFmtId="179" fontId="23" fillId="0" borderId="0" xfId="12" applyNumberFormat="1" applyFont="1"/>
    <xf numFmtId="0" fontId="20" fillId="0" borderId="0" xfId="13" applyFont="1"/>
    <xf numFmtId="49" fontId="20" fillId="0" borderId="0" xfId="12" applyNumberFormat="1" applyFont="1"/>
    <xf numFmtId="0" fontId="27" fillId="0" borderId="7" xfId="12" applyFont="1" applyBorder="1" applyAlignment="1">
      <alignment horizontal="center"/>
    </xf>
    <xf numFmtId="180" fontId="27" fillId="0" borderId="7" xfId="12" applyNumberFormat="1" applyFont="1" applyBorder="1" applyAlignment="1">
      <alignment horizontal="center"/>
    </xf>
    <xf numFmtId="0" fontId="27" fillId="0" borderId="7" xfId="12" applyFont="1" applyBorder="1"/>
    <xf numFmtId="0" fontId="27" fillId="0" borderId="0" xfId="12" applyFont="1" applyAlignment="1">
      <alignment horizontal="center"/>
    </xf>
    <xf numFmtId="0" fontId="1" fillId="0" borderId="0" xfId="12" applyAlignment="1">
      <alignment horizontal="centerContinuous"/>
    </xf>
    <xf numFmtId="0" fontId="27" fillId="0" borderId="0" xfId="12" applyFont="1" applyAlignment="1">
      <alignment horizontal="centerContinuous" wrapText="1"/>
    </xf>
    <xf numFmtId="0" fontId="27" fillId="0" borderId="0" xfId="12" applyFont="1" applyAlignment="1">
      <alignment horizontal="centerContinuous"/>
    </xf>
    <xf numFmtId="0" fontId="20" fillId="0" borderId="8" xfId="12" applyFont="1" applyBorder="1" applyAlignment="1">
      <alignment horizontal="right"/>
    </xf>
    <xf numFmtId="0" fontId="20" fillId="0" borderId="3" xfId="12" applyFont="1" applyBorder="1"/>
    <xf numFmtId="14" fontId="20" fillId="0" borderId="10" xfId="12" applyNumberFormat="1" applyFont="1" applyBorder="1"/>
    <xf numFmtId="0" fontId="20" fillId="0" borderId="11" xfId="12" applyFont="1" applyBorder="1"/>
    <xf numFmtId="14" fontId="20" fillId="0" borderId="21" xfId="12" applyNumberFormat="1" applyFont="1" applyBorder="1"/>
    <xf numFmtId="0" fontId="20" fillId="0" borderId="4" xfId="12" applyFont="1" applyBorder="1"/>
    <xf numFmtId="0" fontId="30" fillId="0" borderId="0" xfId="12" applyFont="1"/>
    <xf numFmtId="0" fontId="42" fillId="0" borderId="0" xfId="12" applyFont="1"/>
    <xf numFmtId="173" fontId="20" fillId="8" borderId="11" xfId="12" applyNumberFormat="1" applyFont="1" applyFill="1" applyBorder="1"/>
    <xf numFmtId="173" fontId="20" fillId="8" borderId="10" xfId="12" applyNumberFormat="1" applyFont="1" applyFill="1" applyBorder="1"/>
    <xf numFmtId="49" fontId="20" fillId="0" borderId="10" xfId="12" applyNumberFormat="1" applyFont="1" applyBorder="1" applyAlignment="1">
      <alignment horizontal="right"/>
    </xf>
    <xf numFmtId="44" fontId="27" fillId="0" borderId="0" xfId="8" applyFont="1" applyFill="1"/>
    <xf numFmtId="166" fontId="4" fillId="0" borderId="0" xfId="0" applyNumberFormat="1" applyFont="1" applyAlignment="1">
      <alignment horizontal="right" vertical="top" wrapText="1"/>
    </xf>
    <xf numFmtId="192" fontId="4" fillId="0" borderId="0" xfId="0" applyNumberFormat="1" applyFont="1" applyAlignment="1">
      <alignment horizontal="right" vertical="top" wrapText="1"/>
    </xf>
    <xf numFmtId="172" fontId="4" fillId="0" borderId="0" xfId="0" applyNumberFormat="1" applyFont="1" applyAlignment="1">
      <alignment horizontal="right" vertical="top" wrapText="1"/>
    </xf>
    <xf numFmtId="193" fontId="4" fillId="0" borderId="0" xfId="0" applyNumberFormat="1" applyFont="1" applyAlignment="1">
      <alignment horizontal="right" vertical="top" wrapText="1"/>
    </xf>
    <xf numFmtId="0" fontId="4" fillId="0" borderId="0" xfId="0" applyFont="1" applyAlignment="1">
      <alignment horizontal="right" vertical="top" wrapText="1"/>
    </xf>
    <xf numFmtId="0" fontId="31" fillId="0" borderId="0" xfId="11" applyFont="1" applyAlignment="1">
      <alignment horizontal="left" vertical="top" wrapText="1"/>
    </xf>
    <xf numFmtId="0" fontId="22" fillId="9" borderId="0" xfId="11" applyFont="1" applyFill="1"/>
    <xf numFmtId="0" fontId="22" fillId="10" borderId="0" xfId="11" applyFont="1" applyFill="1"/>
    <xf numFmtId="0" fontId="20" fillId="0" borderId="0" xfId="12" applyFont="1" applyAlignment="1">
      <alignment horizontal="center"/>
    </xf>
    <xf numFmtId="173" fontId="23" fillId="0" borderId="0" xfId="12" applyNumberFormat="1" applyFont="1"/>
    <xf numFmtId="0" fontId="23" fillId="0" borderId="0" xfId="12" applyFont="1" applyAlignment="1">
      <alignment horizontal="center"/>
    </xf>
    <xf numFmtId="179" fontId="33" fillId="0" borderId="0" xfId="12" applyNumberFormat="1" applyFont="1"/>
    <xf numFmtId="173" fontId="20" fillId="8" borderId="0" xfId="12" applyNumberFormat="1" applyFont="1" applyFill="1"/>
    <xf numFmtId="0" fontId="43" fillId="0" borderId="0" xfId="12" applyFont="1"/>
    <xf numFmtId="0" fontId="32" fillId="0" borderId="0" xfId="0" applyFont="1"/>
    <xf numFmtId="14" fontId="23" fillId="0" borderId="0" xfId="0" applyNumberFormat="1" applyFont="1"/>
    <xf numFmtId="7" fontId="23" fillId="0" borderId="0" xfId="0" applyNumberFormat="1" applyFont="1"/>
    <xf numFmtId="7" fontId="32" fillId="0" borderId="0" xfId="0" applyNumberFormat="1" applyFont="1"/>
    <xf numFmtId="0" fontId="35" fillId="0" borderId="0" xfId="0" applyFont="1"/>
    <xf numFmtId="0" fontId="35" fillId="0" borderId="0" xfId="0" applyFont="1" applyAlignment="1">
      <alignment horizontal="right"/>
    </xf>
    <xf numFmtId="39" fontId="32" fillId="0" borderId="0" xfId="0" applyNumberFormat="1" applyFont="1"/>
    <xf numFmtId="177" fontId="32" fillId="0" borderId="0" xfId="0" applyNumberFormat="1" applyFont="1"/>
    <xf numFmtId="175" fontId="20" fillId="0" borderId="0" xfId="5" applyNumberFormat="1" applyFont="1" applyAlignment="1">
      <alignment horizontal="centerContinuous"/>
    </xf>
    <xf numFmtId="8" fontId="20" fillId="0" borderId="0" xfId="5" applyNumberFormat="1" applyFont="1"/>
    <xf numFmtId="194" fontId="23" fillId="0" borderId="0" xfId="0" applyNumberFormat="1" applyFont="1"/>
    <xf numFmtId="194" fontId="22" fillId="0" borderId="0" xfId="0" applyNumberFormat="1" applyFont="1"/>
    <xf numFmtId="0" fontId="27" fillId="11" borderId="7" xfId="12" applyFont="1" applyFill="1" applyBorder="1" applyAlignment="1">
      <alignment horizontal="center"/>
    </xf>
    <xf numFmtId="0" fontId="27" fillId="11" borderId="0" xfId="12" applyFont="1" applyFill="1" applyAlignment="1">
      <alignment horizontal="center"/>
    </xf>
    <xf numFmtId="0" fontId="20" fillId="0" borderId="0" xfId="0" applyFont="1"/>
    <xf numFmtId="8" fontId="20" fillId="0" borderId="0" xfId="0" applyNumberFormat="1" applyFont="1"/>
    <xf numFmtId="177" fontId="33" fillId="0" borderId="0" xfId="0" applyNumberFormat="1" applyFont="1"/>
    <xf numFmtId="178" fontId="33" fillId="0" borderId="0" xfId="0" applyNumberFormat="1" applyFont="1"/>
    <xf numFmtId="0" fontId="0" fillId="0" borderId="23" xfId="0" applyBorder="1" applyAlignment="1">
      <alignment vertical="center"/>
    </xf>
    <xf numFmtId="0" fontId="0" fillId="0" borderId="23" xfId="0" applyBorder="1"/>
    <xf numFmtId="171" fontId="0" fillId="0" borderId="23" xfId="0" applyNumberFormat="1" applyBorder="1"/>
    <xf numFmtId="0" fontId="0" fillId="7" borderId="23" xfId="0" applyFill="1" applyBorder="1" applyAlignment="1">
      <alignment vertical="center"/>
    </xf>
    <xf numFmtId="0" fontId="0" fillId="7" borderId="23" xfId="0" applyFill="1" applyBorder="1"/>
    <xf numFmtId="0" fontId="16" fillId="0" borderId="23" xfId="0" applyFont="1" applyBorder="1" applyAlignment="1">
      <alignment vertical="center" wrapText="1"/>
    </xf>
    <xf numFmtId="171" fontId="37" fillId="0" borderId="23" xfId="0" applyNumberFormat="1" applyFont="1" applyBorder="1"/>
    <xf numFmtId="0" fontId="16" fillId="7" borderId="23" xfId="0" applyFont="1" applyFill="1" applyBorder="1" applyAlignment="1">
      <alignment vertical="center"/>
    </xf>
    <xf numFmtId="173" fontId="0" fillId="7" borderId="23" xfId="0" applyNumberFormat="1" applyFill="1" applyBorder="1"/>
    <xf numFmtId="173" fontId="37" fillId="7" borderId="23" xfId="0" applyNumberFormat="1" applyFont="1" applyFill="1" applyBorder="1"/>
    <xf numFmtId="174" fontId="0" fillId="0" borderId="23" xfId="0" applyNumberFormat="1" applyBorder="1"/>
    <xf numFmtId="0" fontId="18" fillId="7" borderId="23" xfId="1" applyFont="1" applyFill="1" applyBorder="1" applyAlignment="1">
      <alignment horizontal="left" vertical="center"/>
    </xf>
    <xf numFmtId="174" fontId="0" fillId="7" borderId="23" xfId="0" applyNumberFormat="1" applyFill="1" applyBorder="1"/>
    <xf numFmtId="174" fontId="37" fillId="7" borderId="23" xfId="0" applyNumberFormat="1" applyFont="1" applyFill="1" applyBorder="1"/>
    <xf numFmtId="173" fontId="0" fillId="0" borderId="23" xfId="0" applyNumberFormat="1" applyBorder="1"/>
    <xf numFmtId="0" fontId="44" fillId="4" borderId="0" xfId="1" applyFont="1" applyFill="1" applyAlignment="1">
      <alignment horizontal="center" vertical="center" wrapText="1"/>
    </xf>
    <xf numFmtId="0" fontId="12" fillId="4" borderId="0" xfId="1" applyFont="1" applyFill="1" applyAlignment="1">
      <alignment horizontal="center" vertical="center" wrapText="1"/>
    </xf>
    <xf numFmtId="0" fontId="45" fillId="12" borderId="0" xfId="14" applyFont="1" applyAlignment="1">
      <alignment wrapText="1"/>
    </xf>
    <xf numFmtId="0" fontId="45" fillId="12" borderId="0" xfId="14" applyFont="1" applyAlignment="1">
      <alignment vertical="center" wrapText="1"/>
    </xf>
    <xf numFmtId="0" fontId="46" fillId="0" borderId="0" xfId="1" applyFont="1"/>
    <xf numFmtId="0" fontId="47" fillId="12" borderId="0" xfId="14" applyFont="1" applyAlignment="1">
      <alignment vertical="center" wrapText="1"/>
    </xf>
    <xf numFmtId="0" fontId="47" fillId="12" borderId="0" xfId="14" applyFont="1" applyAlignment="1">
      <alignment wrapText="1"/>
    </xf>
  </cellXfs>
  <cellStyles count="15">
    <cellStyle name="20% - Accent2" xfId="14" builtinId="34"/>
    <cellStyle name="Accent4" xfId="4" builtinId="41"/>
    <cellStyle name="Currency" xfId="8" builtinId="4"/>
    <cellStyle name="Currency 2" xfId="10" xr:uid="{5180667E-44BB-0C49-8CC5-3DFE0CAC2AF4}"/>
    <cellStyle name="Invisible" xfId="2" xr:uid="{3E8B31E4-62DD-BC42-9EF0-5ED007DA4AFD}"/>
    <cellStyle name="Normal" xfId="0" builtinId="0"/>
    <cellStyle name="Normal 2" xfId="1" xr:uid="{A3C45B5E-BFA7-6F41-B02B-73EC123560B5}"/>
    <cellStyle name="Normal 2 2" xfId="5" xr:uid="{A1A02F12-1E1E-4DB3-80BF-32310E8E7ADE}"/>
    <cellStyle name="Normal 2 3" xfId="7" xr:uid="{DB1E9965-A05C-B645-9DB3-A6A8F6AEFE5B}"/>
    <cellStyle name="Normal 2 3 2" xfId="11" xr:uid="{11FDFDC9-7FA7-074B-A417-ED0B4CF9C499}"/>
    <cellStyle name="Normal 3" xfId="6" xr:uid="{14E40269-C728-4F15-A464-394070A95DE9}"/>
    <cellStyle name="Normal 3 2" xfId="13" xr:uid="{212861A0-2D4F-954C-BD79-5753E08E4212}"/>
    <cellStyle name="Normal 4 2" xfId="12" xr:uid="{029325F2-0A5E-9E48-9137-C392C32111B8}"/>
    <cellStyle name="Normal 5 2" xfId="9" xr:uid="{39EC14A9-71BF-3B4C-897C-B03548415D5B}"/>
    <cellStyle name="Percent" xfId="3" builtinId="5"/>
  </cellStyles>
  <dxfs count="4">
    <dxf>
      <font>
        <strike val="0"/>
        <outline val="0"/>
        <shadow val="0"/>
        <u val="none"/>
        <vertAlign val="baseline"/>
        <sz val="12"/>
        <color theme="9" tint="-0.249977111117893"/>
        <name val="Aptos Narrow"/>
        <family val="2"/>
        <scheme val="minor"/>
      </font>
      <numFmt numFmtId="171" formatCode="_(0.0%_);\(0.0%\)"/>
    </dxf>
    <dxf>
      <numFmt numFmtId="171" formatCode="_(0.0%_);\(0.0%\)"/>
    </dxf>
    <dxf>
      <font>
        <strike val="0"/>
        <outline val="0"/>
        <shadow val="0"/>
        <u val="none"/>
        <vertAlign val="baseline"/>
        <sz val="12"/>
        <color theme="9" tint="-0.249977111117893"/>
        <name val="Aptos Narrow"/>
        <family val="2"/>
        <scheme val="minor"/>
      </font>
      <numFmt numFmtId="171" formatCode="_(0.0%_);\(0.0%\)"/>
    </dxf>
    <dxf>
      <font>
        <strike val="0"/>
        <outline val="0"/>
        <shadow val="0"/>
        <u val="none"/>
        <vertAlign val="baseline"/>
        <sz val="12"/>
        <color theme="9" tint="-0.249977111117893"/>
        <name val="Aptos Narrow"/>
        <family val="2"/>
        <scheme val="minor"/>
      </font>
      <numFmt numFmtId="171" formatCode="_(0.0%_);\(0.0%\)"/>
    </dxf>
  </dxfs>
  <tableStyles count="0" defaultTableStyle="TableStyleMedium2" defaultPivotStyle="PivotStyleLight16"/>
  <colors>
    <mruColors>
      <color rgb="FF004AAD"/>
      <color rgb="FF2AB4D4"/>
      <color rgb="FF17AA4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Efficiency Ratios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'Ratio Analysis'!$N$29</c:f>
              <c:strCache>
                <c:ptCount val="1"/>
                <c:pt idx="0">
                  <c:v>Coors 2024</c:v>
                </c:pt>
              </c:strCache>
            </c:strRef>
          </c:tx>
          <c:spPr>
            <a:solidFill>
              <a:srgbClr val="00B0F0"/>
            </a:solidFill>
            <a:ln>
              <a:noFill/>
            </a:ln>
            <a:effectLst/>
          </c:spPr>
          <c:invertIfNegative val="0"/>
          <c:dLbls>
            <c:numFmt formatCode="0\ &quot;days&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'Ratio Analysis'!$M$30:$M$31</c:f>
              <c:strCache>
                <c:ptCount val="2"/>
                <c:pt idx="0">
                  <c:v>  Avg. Days Inventory Out.</c:v>
                </c:pt>
                <c:pt idx="1">
                  <c:v>  Avg. Days Sales Out.</c:v>
                </c:pt>
              </c:strCache>
            </c:strRef>
          </c:cat>
          <c:val>
            <c:numRef>
              <c:f>'Ratio Analysis'!$N$30:$N$31</c:f>
              <c:numCache>
                <c:formatCode>0.0\ "days"</c:formatCode>
                <c:ptCount val="2"/>
                <c:pt idx="0">
                  <c:v>37.448827111762711</c:v>
                </c:pt>
                <c:pt idx="1">
                  <c:v>17.253289756601017</c:v>
                </c:pt>
              </c:numCache>
            </c:numRef>
          </c:val>
          <c:extLst>
            <c:ext xmlns:c16="http://schemas.microsoft.com/office/drawing/2014/chart" uri="{C3380CC4-5D6E-409C-BE32-E72D297353CC}">
              <c16:uniqueId val="{00000000-7C11-6D45-99D2-E58292E24EC9}"/>
            </c:ext>
          </c:extLst>
        </c:ser>
        <c:ser>
          <c:idx val="1"/>
          <c:order val="1"/>
          <c:tx>
            <c:strRef>
              <c:f>'Ratio Analysis'!$O$29</c:f>
              <c:strCache>
                <c:ptCount val="1"/>
                <c:pt idx="0">
                  <c:v>Peer Average 2024</c:v>
                </c:pt>
              </c:strCache>
            </c:strRef>
          </c:tx>
          <c:spPr>
            <a:solidFill>
              <a:srgbClr val="0070C0"/>
            </a:solidFill>
            <a:ln>
              <a:noFill/>
            </a:ln>
            <a:effectLst/>
          </c:spPr>
          <c:invertIfNegative val="0"/>
          <c:dLbls>
            <c:numFmt formatCode="0\ &quot;days&quot;"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'Ratio Analysis'!$M$30:$M$31</c:f>
              <c:strCache>
                <c:ptCount val="2"/>
                <c:pt idx="0">
                  <c:v>  Avg. Days Inventory Out.</c:v>
                </c:pt>
                <c:pt idx="1">
                  <c:v>  Avg. Days Sales Out.</c:v>
                </c:pt>
              </c:strCache>
            </c:strRef>
          </c:cat>
          <c:val>
            <c:numRef>
              <c:f>'Ratio Analysis'!$O$30:$O$31</c:f>
              <c:numCache>
                <c:formatCode>0.0\ "days"</c:formatCode>
                <c:ptCount val="2"/>
                <c:pt idx="0">
                  <c:v>82.023469000000006</c:v>
                </c:pt>
                <c:pt idx="1">
                  <c:v>27.1709885</c:v>
                </c:pt>
              </c:numCache>
            </c:numRef>
          </c:val>
          <c:extLst>
            <c:ext xmlns:c16="http://schemas.microsoft.com/office/drawing/2014/chart" uri="{C3380CC4-5D6E-409C-BE32-E72D297353CC}">
              <c16:uniqueId val="{00000001-7C11-6D45-99D2-E58292E24EC9}"/>
            </c:ext>
          </c:extLst>
        </c:ser>
        <c:dLbls>
          <c:showLegendKey val="0"/>
          <c:showVal val="0"/>
          <c:showCatName val="0"/>
          <c:showSerName val="0"/>
          <c:showPercent val="0"/>
          <c:showBubbleSize val="0"/>
        </c:dLbls>
        <c:gapWidth val="219"/>
        <c:axId val="391373952"/>
        <c:axId val="391375680"/>
      </c:barChart>
      <c:catAx>
        <c:axId val="391373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1375680"/>
        <c:crosses val="autoZero"/>
        <c:auto val="1"/>
        <c:lblAlgn val="ctr"/>
        <c:lblOffset val="100"/>
        <c:noMultiLvlLbl val="0"/>
      </c:catAx>
      <c:valAx>
        <c:axId val="391375680"/>
        <c:scaling>
          <c:orientation val="minMax"/>
        </c:scaling>
        <c:delete val="0"/>
        <c:axPos val="l"/>
        <c:numFmt formatCode="0\ &quot;days&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13739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DCF Assumptions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TAP_DCF!$T$20</c:f>
              <c:strCache>
                <c:ptCount val="1"/>
                <c:pt idx="0">
                  <c:v>2024</c:v>
                </c:pt>
              </c:strCache>
            </c:strRef>
          </c:tx>
          <c:spPr>
            <a:solidFill>
              <a:srgbClr val="004AAD"/>
            </a:solidFill>
            <a:ln>
              <a:noFill/>
            </a:ln>
            <a:effectLst/>
          </c:spPr>
          <c:invertIfNegative val="0"/>
          <c:dLbls>
            <c:dLbl>
              <c:idx val="0"/>
              <c:layout>
                <c:manualLayout>
                  <c:x val="7.3995288189798499E-3"/>
                  <c:y val="5.1232217359064997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00B-4B4B-A4A3-BD8889CFB42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TAP_DCF!$U$19:$Z$19</c:f>
              <c:strCache>
                <c:ptCount val="6"/>
                <c:pt idx="0">
                  <c:v>Revenue Growth</c:v>
                </c:pt>
                <c:pt idx="1">
                  <c:v>COGS (% of Revenue)</c:v>
                </c:pt>
                <c:pt idx="2">
                  <c:v>SG&amp;A (% of Revenue)</c:v>
                </c:pt>
                <c:pt idx="3">
                  <c:v>Amortization of Goodwill and Intangibles (% of Revenue)</c:v>
                </c:pt>
                <c:pt idx="4">
                  <c:v>Depreciation and Amortization (% of Capex)</c:v>
                </c:pt>
                <c:pt idx="5">
                  <c:v>Capex (% of Revenue)</c:v>
                </c:pt>
              </c:strCache>
            </c:strRef>
          </c:cat>
          <c:val>
            <c:numRef>
              <c:f>TAP_DCF!$U$20:$Z$20</c:f>
              <c:numCache>
                <c:formatCode>0.0%_);\(0.0%\)</c:formatCode>
                <c:ptCount val="6"/>
                <c:pt idx="0">
                  <c:v>-6.0000000000000001E-3</c:v>
                </c:pt>
                <c:pt idx="1">
                  <c:v>0.61</c:v>
                </c:pt>
                <c:pt idx="2">
                  <c:v>0.216</c:v>
                </c:pt>
                <c:pt idx="3">
                  <c:v>1.7999999999999999E-2</c:v>
                </c:pt>
                <c:pt idx="4">
                  <c:v>0.98799999999999999</c:v>
                </c:pt>
                <c:pt idx="5">
                  <c:v>5.8000000000000003E-2</c:v>
                </c:pt>
              </c:numCache>
            </c:numRef>
          </c:val>
          <c:extLst>
            <c:ext xmlns:c16="http://schemas.microsoft.com/office/drawing/2014/chart" uri="{C3380CC4-5D6E-409C-BE32-E72D297353CC}">
              <c16:uniqueId val="{00000000-900B-4B4B-A4A3-BD8889CFB421}"/>
            </c:ext>
          </c:extLst>
        </c:ser>
        <c:ser>
          <c:idx val="1"/>
          <c:order val="1"/>
          <c:tx>
            <c:strRef>
              <c:f>TAP_DCF!$T$21</c:f>
              <c:strCache>
                <c:ptCount val="1"/>
                <c:pt idx="0">
                  <c:v>2029</c:v>
                </c:pt>
              </c:strCache>
            </c:strRef>
          </c:tx>
          <c:spPr>
            <a:solidFill>
              <a:srgbClr val="2AB4D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TAP_DCF!$U$19:$Z$19</c:f>
              <c:strCache>
                <c:ptCount val="6"/>
                <c:pt idx="0">
                  <c:v>Revenue Growth</c:v>
                </c:pt>
                <c:pt idx="1">
                  <c:v>COGS (% of Revenue)</c:v>
                </c:pt>
                <c:pt idx="2">
                  <c:v>SG&amp;A (% of Revenue)</c:v>
                </c:pt>
                <c:pt idx="3">
                  <c:v>Amortization of Goodwill and Intangibles (% of Revenue)</c:v>
                </c:pt>
                <c:pt idx="4">
                  <c:v>Depreciation and Amortization (% of Capex)</c:v>
                </c:pt>
                <c:pt idx="5">
                  <c:v>Capex (% of Revenue)</c:v>
                </c:pt>
              </c:strCache>
            </c:strRef>
          </c:cat>
          <c:val>
            <c:numRef>
              <c:f>TAP_DCF!$U$21:$Z$21</c:f>
              <c:numCache>
                <c:formatCode>0.0%_);\(0.0%\)</c:formatCode>
                <c:ptCount val="6"/>
                <c:pt idx="0">
                  <c:v>0.01</c:v>
                </c:pt>
                <c:pt idx="1">
                  <c:v>0.61499999999999999</c:v>
                </c:pt>
                <c:pt idx="2">
                  <c:v>0.218</c:v>
                </c:pt>
                <c:pt idx="3">
                  <c:v>1.9E-2</c:v>
                </c:pt>
                <c:pt idx="4">
                  <c:v>1</c:v>
                </c:pt>
                <c:pt idx="5">
                  <c:v>0.06</c:v>
                </c:pt>
              </c:numCache>
            </c:numRef>
          </c:val>
          <c:extLst>
            <c:ext xmlns:c16="http://schemas.microsoft.com/office/drawing/2014/chart" uri="{C3380CC4-5D6E-409C-BE32-E72D297353CC}">
              <c16:uniqueId val="{00000001-900B-4B4B-A4A3-BD8889CFB421}"/>
            </c:ext>
          </c:extLst>
        </c:ser>
        <c:dLbls>
          <c:showLegendKey val="0"/>
          <c:showVal val="0"/>
          <c:showCatName val="0"/>
          <c:showSerName val="0"/>
          <c:showPercent val="0"/>
          <c:showBubbleSize val="0"/>
        </c:dLbls>
        <c:gapWidth val="219"/>
        <c:overlap val="-52"/>
        <c:axId val="2023788927"/>
        <c:axId val="2023792063"/>
      </c:barChart>
      <c:catAx>
        <c:axId val="20237889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3792063"/>
        <c:crosses val="autoZero"/>
        <c:auto val="1"/>
        <c:lblAlgn val="ctr"/>
        <c:lblOffset val="100"/>
        <c:noMultiLvlLbl val="0"/>
      </c:catAx>
      <c:valAx>
        <c:axId val="2023792063"/>
        <c:scaling>
          <c:orientation val="minMax"/>
          <c:max val="1.1000000000000001"/>
        </c:scaling>
        <c:delete val="0"/>
        <c:axPos val="l"/>
        <c:numFmt formatCode="0.0%_);\(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378892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Relative Valuation Implied</a:t>
            </a:r>
            <a:r>
              <a:rPr lang="en-US" baseline="0"/>
              <a:t> Price per Share</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Chart'!$C$9:$C$15</c:f>
              <c:numCache>
                <c:formatCode>General</c:formatCode>
                <c:ptCount val="7"/>
              </c:numCache>
            </c:numRef>
          </c:val>
          <c:extLst>
            <c:ext xmlns:c16="http://schemas.microsoft.com/office/drawing/2014/chart" uri="{C3380CC4-5D6E-409C-BE32-E72D297353CC}">
              <c16:uniqueId val="{00000000-519A-0049-94B3-116D5F4BB869}"/>
            </c:ext>
          </c:extLst>
        </c:ser>
        <c:ser>
          <c:idx val="1"/>
          <c:order val="1"/>
          <c:spPr>
            <a:solidFill>
              <a:schemeClr val="accent2"/>
            </a:solidFill>
            <a:ln>
              <a:noFill/>
            </a:ln>
            <a:effectLst/>
          </c:spPr>
          <c:invertIfNegative val="0"/>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Chart'!$D$9:$D$15</c:f>
              <c:numCache>
                <c:formatCode>General</c:formatCode>
                <c:ptCount val="7"/>
              </c:numCache>
            </c:numRef>
          </c:val>
          <c:extLst>
            <c:ext xmlns:c16="http://schemas.microsoft.com/office/drawing/2014/chart" uri="{C3380CC4-5D6E-409C-BE32-E72D297353CC}">
              <c16:uniqueId val="{00000001-519A-0049-94B3-116D5F4BB869}"/>
            </c:ext>
          </c:extLst>
        </c:ser>
        <c:ser>
          <c:idx val="2"/>
          <c:order val="2"/>
          <c:spPr>
            <a:solidFill>
              <a:schemeClr val="accent3"/>
            </a:solidFill>
            <a:ln>
              <a:noFill/>
            </a:ln>
            <a:effectLst/>
          </c:spPr>
          <c:invertIfNegative val="0"/>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Chart'!$E$9:$E$15</c:f>
              <c:numCache>
                <c:formatCode>General</c:formatCode>
                <c:ptCount val="7"/>
              </c:numCache>
            </c:numRef>
          </c:val>
          <c:extLst>
            <c:ext xmlns:c16="http://schemas.microsoft.com/office/drawing/2014/chart" uri="{C3380CC4-5D6E-409C-BE32-E72D297353CC}">
              <c16:uniqueId val="{00000002-519A-0049-94B3-116D5F4BB869}"/>
            </c:ext>
          </c:extLst>
        </c:ser>
        <c:ser>
          <c:idx val="3"/>
          <c:order val="3"/>
          <c:spPr>
            <a:noFill/>
            <a:ln>
              <a:noFill/>
            </a:ln>
            <a:effectLst/>
          </c:spPr>
          <c:invertIfNegative val="0"/>
          <c:dLbls>
            <c:dLbl>
              <c:idx val="2"/>
              <c:dLblPos val="in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19A-0049-94B3-116D5F4BB869}"/>
                </c:ext>
              </c:extLst>
            </c:dLbl>
            <c:dLbl>
              <c:idx val="5"/>
              <c:dLblPos val="in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519A-0049-94B3-116D5F4BB8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Chart'!$F$9:$F$15</c:f>
              <c:numCache>
                <c:formatCode>"$"#,##0.00_);\("$"#,##0.00\)</c:formatCode>
                <c:ptCount val="7"/>
                <c:pt idx="0">
                  <c:v>0</c:v>
                </c:pt>
                <c:pt idx="1">
                  <c:v>45.991160934452921</c:v>
                </c:pt>
                <c:pt idx="2">
                  <c:v>0</c:v>
                </c:pt>
                <c:pt idx="3">
                  <c:v>39.891797788636197</c:v>
                </c:pt>
                <c:pt idx="4">
                  <c:v>45.991160934452921</c:v>
                </c:pt>
                <c:pt idx="5">
                  <c:v>138.30259100134913</c:v>
                </c:pt>
                <c:pt idx="6">
                  <c:v>42.94</c:v>
                </c:pt>
              </c:numCache>
            </c:numRef>
          </c:val>
          <c:extLst>
            <c:ext xmlns:c16="http://schemas.microsoft.com/office/drawing/2014/chart" uri="{C3380CC4-5D6E-409C-BE32-E72D297353CC}">
              <c16:uniqueId val="{00000003-519A-0049-94B3-116D5F4BB869}"/>
            </c:ext>
          </c:extLst>
        </c:ser>
        <c:ser>
          <c:idx val="4"/>
          <c:order val="4"/>
          <c:spPr>
            <a:solidFill>
              <a:srgbClr val="2AB4D4"/>
            </a:solidFill>
            <a:ln>
              <a:noFill/>
            </a:ln>
            <a:effectLst/>
          </c:spPr>
          <c:invertIfNegative val="0"/>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Chart'!$G$9:$G$15</c:f>
              <c:numCache>
                <c:formatCode>"$"#,##0.00_);\("$"#,##0.00\)</c:formatCode>
                <c:ptCount val="7"/>
                <c:pt idx="0">
                  <c:v>0</c:v>
                </c:pt>
                <c:pt idx="1">
                  <c:v>2.4480091584610904</c:v>
                </c:pt>
                <c:pt idx="2">
                  <c:v>0</c:v>
                </c:pt>
                <c:pt idx="3">
                  <c:v>64.192618613731867</c:v>
                </c:pt>
                <c:pt idx="4">
                  <c:v>2.4480091584610904</c:v>
                </c:pt>
                <c:pt idx="5">
                  <c:v>14.351604151778758</c:v>
                </c:pt>
                <c:pt idx="6">
                  <c:v>21.72</c:v>
                </c:pt>
              </c:numCache>
            </c:numRef>
          </c:val>
          <c:extLst>
            <c:ext xmlns:c16="http://schemas.microsoft.com/office/drawing/2014/chart" uri="{C3380CC4-5D6E-409C-BE32-E72D297353CC}">
              <c16:uniqueId val="{00000004-519A-0049-94B3-116D5F4BB869}"/>
            </c:ext>
          </c:extLst>
        </c:ser>
        <c:ser>
          <c:idx val="5"/>
          <c:order val="5"/>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Chart'!$H$9:$H$15</c:f>
              <c:numCache>
                <c:formatCode>"$"#,##0.00_);\("$"#,##0.00\)</c:formatCode>
                <c:ptCount val="7"/>
                <c:pt idx="0">
                  <c:v>0</c:v>
                </c:pt>
                <c:pt idx="1">
                  <c:v>48.439170092914011</c:v>
                </c:pt>
                <c:pt idx="2">
                  <c:v>0</c:v>
                </c:pt>
                <c:pt idx="3">
                  <c:v>104.08441640236806</c:v>
                </c:pt>
                <c:pt idx="4">
                  <c:v>48.439170092914011</c:v>
                </c:pt>
                <c:pt idx="5">
                  <c:v>152.65419515312789</c:v>
                </c:pt>
                <c:pt idx="6">
                  <c:v>64.66</c:v>
                </c:pt>
              </c:numCache>
            </c:numRef>
          </c:val>
          <c:extLst>
            <c:ext xmlns:c16="http://schemas.microsoft.com/office/drawing/2014/chart" uri="{C3380CC4-5D6E-409C-BE32-E72D297353CC}">
              <c16:uniqueId val="{00000005-519A-0049-94B3-116D5F4BB869}"/>
            </c:ext>
          </c:extLst>
        </c:ser>
        <c:dLbls>
          <c:showLegendKey val="0"/>
          <c:showVal val="0"/>
          <c:showCatName val="0"/>
          <c:showSerName val="0"/>
          <c:showPercent val="0"/>
          <c:showBubbleSize val="0"/>
        </c:dLbls>
        <c:gapWidth val="150"/>
        <c:overlap val="100"/>
        <c:axId val="2010510016"/>
        <c:axId val="2010166400"/>
      </c:barChart>
      <c:scatterChart>
        <c:scatterStyle val="smoothMarker"/>
        <c:varyColors val="0"/>
        <c:ser>
          <c:idx val="6"/>
          <c:order val="6"/>
          <c:spPr>
            <a:ln w="28575" cap="rnd">
              <a:solidFill>
                <a:srgbClr val="004AAD"/>
              </a:solidFill>
              <a:prstDash val="dash"/>
              <a:round/>
            </a:ln>
            <a:effectLst/>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B-519A-0049-94B3-116D5F4BB869}"/>
                </c:ext>
              </c:extLst>
            </c:dLbl>
            <c:dLbl>
              <c:idx val="1"/>
              <c:delete val="1"/>
              <c:extLst>
                <c:ext xmlns:c15="http://schemas.microsoft.com/office/drawing/2012/chart" uri="{CE6537A1-D6FC-4f65-9D91-7224C49458BB}"/>
                <c:ext xmlns:c16="http://schemas.microsoft.com/office/drawing/2014/chart" uri="{C3380CC4-5D6E-409C-BE32-E72D297353CC}">
                  <c16:uniqueId val="{0000000A-519A-0049-94B3-116D5F4BB869}"/>
                </c:ext>
              </c:extLst>
            </c:dLbl>
            <c:dLbl>
              <c:idx val="2"/>
              <c:delete val="1"/>
              <c:extLst>
                <c:ext xmlns:c15="http://schemas.microsoft.com/office/drawing/2012/chart" uri="{CE6537A1-D6FC-4f65-9D91-7224C49458BB}"/>
                <c:ext xmlns:c16="http://schemas.microsoft.com/office/drawing/2014/chart" uri="{C3380CC4-5D6E-409C-BE32-E72D297353CC}">
                  <c16:uniqueId val="{00000009-519A-0049-94B3-116D5F4BB869}"/>
                </c:ext>
              </c:extLst>
            </c:dLbl>
            <c:dLbl>
              <c:idx val="3"/>
              <c:delete val="1"/>
              <c:extLst>
                <c:ext xmlns:c15="http://schemas.microsoft.com/office/drawing/2012/chart" uri="{CE6537A1-D6FC-4f65-9D91-7224C49458BB}"/>
                <c:ext xmlns:c16="http://schemas.microsoft.com/office/drawing/2014/chart" uri="{C3380CC4-5D6E-409C-BE32-E72D297353CC}">
                  <c16:uniqueId val="{00000008-519A-0049-94B3-116D5F4BB869}"/>
                </c:ext>
              </c:extLst>
            </c:dLbl>
            <c:dLbl>
              <c:idx val="4"/>
              <c:delete val="1"/>
              <c:extLst>
                <c:ext xmlns:c15="http://schemas.microsoft.com/office/drawing/2012/chart" uri="{CE6537A1-D6FC-4f65-9D91-7224C49458BB}"/>
                <c:ext xmlns:c16="http://schemas.microsoft.com/office/drawing/2014/chart" uri="{C3380CC4-5D6E-409C-BE32-E72D297353CC}">
                  <c16:uniqueId val="{00000007-519A-0049-94B3-116D5F4BB869}"/>
                </c:ext>
              </c:extLst>
            </c:dLbl>
            <c:dLbl>
              <c:idx val="5"/>
              <c:delete val="1"/>
              <c:extLst>
                <c:ext xmlns:c15="http://schemas.microsoft.com/office/drawing/2012/chart" uri="{CE6537A1-D6FC-4f65-9D91-7224C49458BB}"/>
                <c:ext xmlns:c16="http://schemas.microsoft.com/office/drawing/2014/chart" uri="{C3380CC4-5D6E-409C-BE32-E72D297353CC}">
                  <c16:uniqueId val="{0000000C-519A-0049-94B3-116D5F4BB869}"/>
                </c:ext>
              </c:extLst>
            </c:dLbl>
            <c:dLbl>
              <c:idx val="6"/>
              <c:layout>
                <c:manualLayout>
                  <c:x val="1.678641859776555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519A-0049-94B3-116D5F4BB8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xVal>
          <c:yVal>
            <c:numRef>
              <c:f>'Relative Valuation Chart'!$M$9:$M$15</c:f>
              <c:numCache>
                <c:formatCode>"$"#,##0.00_);\("$"#,##0.00\)</c:formatCode>
                <c:ptCount val="7"/>
                <c:pt idx="0">
                  <c:v>0</c:v>
                </c:pt>
                <c:pt idx="1">
                  <c:v>0</c:v>
                </c:pt>
                <c:pt idx="2">
                  <c:v>0</c:v>
                </c:pt>
                <c:pt idx="3">
                  <c:v>0</c:v>
                </c:pt>
                <c:pt idx="4">
                  <c:v>0</c:v>
                </c:pt>
                <c:pt idx="5">
                  <c:v>0</c:v>
                </c:pt>
                <c:pt idx="6">
                  <c:v>0</c:v>
                </c:pt>
              </c:numCache>
            </c:numRef>
          </c:yVal>
          <c:smooth val="1"/>
          <c:extLst>
            <c:ext xmlns:c16="http://schemas.microsoft.com/office/drawing/2014/chart" uri="{C3380CC4-5D6E-409C-BE32-E72D297353CC}">
              <c16:uniqueId val="{00000006-519A-0049-94B3-116D5F4BB869}"/>
            </c:ext>
          </c:extLst>
        </c:ser>
        <c:dLbls>
          <c:showLegendKey val="0"/>
          <c:showVal val="0"/>
          <c:showCatName val="0"/>
          <c:showSerName val="0"/>
          <c:showPercent val="0"/>
          <c:showBubbleSize val="0"/>
        </c:dLbls>
        <c:axId val="2010510016"/>
        <c:axId val="2010166400"/>
      </c:scatterChart>
      <c:catAx>
        <c:axId val="20105100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0166400"/>
        <c:crosses val="autoZero"/>
        <c:auto val="1"/>
        <c:lblAlgn val="ctr"/>
        <c:lblOffset val="100"/>
        <c:noMultiLvlLbl val="0"/>
      </c:catAx>
      <c:valAx>
        <c:axId val="2010166400"/>
        <c:scaling>
          <c:orientation val="minMax"/>
          <c:max val="600"/>
        </c:scaling>
        <c:delete val="0"/>
        <c:axPos val="l"/>
        <c:numFmt formatCode="General"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051001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Valuation Summary for Molson Coors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cat>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cat>
          <c:val>
            <c:numRef>
              <c:f>'TAP Football Field'!$C$9:$C$13</c:f>
              <c:numCache>
                <c:formatCode>General</c:formatCode>
                <c:ptCount val="5"/>
              </c:numCache>
            </c:numRef>
          </c:val>
          <c:extLst>
            <c:ext xmlns:c16="http://schemas.microsoft.com/office/drawing/2014/chart" uri="{C3380CC4-5D6E-409C-BE32-E72D297353CC}">
              <c16:uniqueId val="{00000000-EF8E-4246-9D93-EC2DE4B1D12E}"/>
            </c:ext>
          </c:extLst>
        </c:ser>
        <c:ser>
          <c:idx val="1"/>
          <c:order val="1"/>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cat>
          <c:val>
            <c:numRef>
              <c:f>'TAP Football Field'!$D$9:$D$13</c:f>
              <c:numCache>
                <c:formatCode>"$"#,##0.00_);\("$"#,##0.00\)</c:formatCode>
                <c:ptCount val="5"/>
                <c:pt idx="0">
                  <c:v>0</c:v>
                </c:pt>
                <c:pt idx="1">
                  <c:v>45.991160934452921</c:v>
                </c:pt>
                <c:pt idx="2">
                  <c:v>81.775834717401139</c:v>
                </c:pt>
                <c:pt idx="3" formatCode="&quot;$&quot;#,##0.00_);[Red]\(&quot;$&quot;#,##0.00\)">
                  <c:v>39.891797788636197</c:v>
                </c:pt>
                <c:pt idx="4">
                  <c:v>42.94</c:v>
                </c:pt>
              </c:numCache>
            </c:numRef>
          </c:val>
          <c:extLst>
            <c:ext xmlns:c16="http://schemas.microsoft.com/office/drawing/2014/chart" uri="{C3380CC4-5D6E-409C-BE32-E72D297353CC}">
              <c16:uniqueId val="{00000001-EF8E-4246-9D93-EC2DE4B1D12E}"/>
            </c:ext>
          </c:extLst>
        </c:ser>
        <c:ser>
          <c:idx val="2"/>
          <c:order val="2"/>
          <c:spPr>
            <a:solidFill>
              <a:srgbClr val="2AB4D4"/>
            </a:solidFill>
            <a:ln>
              <a:noFill/>
            </a:ln>
            <a:effectLst/>
          </c:spPr>
          <c:invertIfNegative val="0"/>
          <c:cat>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cat>
          <c:val>
            <c:numRef>
              <c:f>'TAP Football Field'!$E$9:$E$13</c:f>
              <c:numCache>
                <c:formatCode>#,##0.00_);\(#,##0.00\)</c:formatCode>
                <c:ptCount val="5"/>
                <c:pt idx="0">
                  <c:v>0</c:v>
                </c:pt>
                <c:pt idx="1">
                  <c:v>2.4480091584610904</c:v>
                </c:pt>
                <c:pt idx="2">
                  <c:v>124.52481353844492</c:v>
                </c:pt>
                <c:pt idx="3">
                  <c:v>64.192618613731867</c:v>
                </c:pt>
                <c:pt idx="4">
                  <c:v>21.72</c:v>
                </c:pt>
              </c:numCache>
            </c:numRef>
          </c:val>
          <c:extLst>
            <c:ext xmlns:c16="http://schemas.microsoft.com/office/drawing/2014/chart" uri="{C3380CC4-5D6E-409C-BE32-E72D297353CC}">
              <c16:uniqueId val="{00000002-EF8E-4246-9D93-EC2DE4B1D12E}"/>
            </c:ext>
          </c:extLst>
        </c:ser>
        <c:ser>
          <c:idx val="3"/>
          <c:order val="3"/>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cat>
          <c:val>
            <c:numRef>
              <c:f>'TAP Football Field'!$F$9:$F$13</c:f>
              <c:numCache>
                <c:formatCode>"$"#,##0.00_);\("$"#,##0.00\)</c:formatCode>
                <c:ptCount val="5"/>
                <c:pt idx="0">
                  <c:v>0</c:v>
                </c:pt>
                <c:pt idx="1">
                  <c:v>48.439170092914011</c:v>
                </c:pt>
                <c:pt idx="2">
                  <c:v>206.30064825584606</c:v>
                </c:pt>
                <c:pt idx="3">
                  <c:v>104.08441640236806</c:v>
                </c:pt>
                <c:pt idx="4">
                  <c:v>64.66</c:v>
                </c:pt>
              </c:numCache>
            </c:numRef>
          </c:val>
          <c:extLst>
            <c:ext xmlns:c16="http://schemas.microsoft.com/office/drawing/2014/chart" uri="{C3380CC4-5D6E-409C-BE32-E72D297353CC}">
              <c16:uniqueId val="{00000003-EF8E-4246-9D93-EC2DE4B1D12E}"/>
            </c:ext>
          </c:extLst>
        </c:ser>
        <c:dLbls>
          <c:showLegendKey val="0"/>
          <c:showVal val="0"/>
          <c:showCatName val="0"/>
          <c:showSerName val="0"/>
          <c:showPercent val="0"/>
          <c:showBubbleSize val="0"/>
        </c:dLbls>
        <c:gapWidth val="150"/>
        <c:overlap val="100"/>
        <c:axId val="1896342719"/>
        <c:axId val="1896344511"/>
      </c:barChart>
      <c:scatterChart>
        <c:scatterStyle val="smoothMarker"/>
        <c:varyColors val="0"/>
        <c:ser>
          <c:idx val="4"/>
          <c:order val="4"/>
          <c:spPr>
            <a:ln w="28575" cap="rnd">
              <a:solidFill>
                <a:srgbClr val="004AAD"/>
              </a:solidFill>
              <a:prstDash val="dash"/>
              <a:round/>
            </a:ln>
            <a:effectLst/>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8-EF8E-4246-9D93-EC2DE4B1D12E}"/>
                </c:ext>
              </c:extLst>
            </c:dLbl>
            <c:dLbl>
              <c:idx val="1"/>
              <c:delete val="1"/>
              <c:extLst>
                <c:ext xmlns:c15="http://schemas.microsoft.com/office/drawing/2012/chart" uri="{CE6537A1-D6FC-4f65-9D91-7224C49458BB}"/>
                <c:ext xmlns:c16="http://schemas.microsoft.com/office/drawing/2014/chart" uri="{C3380CC4-5D6E-409C-BE32-E72D297353CC}">
                  <c16:uniqueId val="{00000007-EF8E-4246-9D93-EC2DE4B1D12E}"/>
                </c:ext>
              </c:extLst>
            </c:dLbl>
            <c:dLbl>
              <c:idx val="2"/>
              <c:delete val="1"/>
              <c:extLst>
                <c:ext xmlns:c15="http://schemas.microsoft.com/office/drawing/2012/chart" uri="{CE6537A1-D6FC-4f65-9D91-7224C49458BB}"/>
                <c:ext xmlns:c16="http://schemas.microsoft.com/office/drawing/2014/chart" uri="{C3380CC4-5D6E-409C-BE32-E72D297353CC}">
                  <c16:uniqueId val="{00000006-EF8E-4246-9D93-EC2DE4B1D12E}"/>
                </c:ext>
              </c:extLst>
            </c:dLbl>
            <c:dLbl>
              <c:idx val="3"/>
              <c:delete val="1"/>
              <c:extLst>
                <c:ext xmlns:c15="http://schemas.microsoft.com/office/drawing/2012/chart" uri="{CE6537A1-D6FC-4f65-9D91-7224C49458BB}"/>
                <c:ext xmlns:c16="http://schemas.microsoft.com/office/drawing/2014/chart" uri="{C3380CC4-5D6E-409C-BE32-E72D297353CC}">
                  <c16:uniqueId val="{00000005-EF8E-4246-9D93-EC2DE4B1D12E}"/>
                </c:ext>
              </c:extLst>
            </c:dLbl>
            <c:dLbl>
              <c:idx val="4"/>
              <c:layout>
                <c:manualLayout>
                  <c:x val="2.113053025832929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EF8E-4246-9D93-EC2DE4B1D12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xVal>
          <c:yVal>
            <c:numRef>
              <c:f>'TAP Football Field'!$K$9:$K$13</c:f>
              <c:numCache>
                <c:formatCode>"$"#,##0.00_);\("$"#,##0.00\)</c:formatCode>
                <c:ptCount val="5"/>
                <c:pt idx="0">
                  <c:v>45.13</c:v>
                </c:pt>
                <c:pt idx="1">
                  <c:v>45.13</c:v>
                </c:pt>
                <c:pt idx="2">
                  <c:v>45.13</c:v>
                </c:pt>
                <c:pt idx="3">
                  <c:v>45.13</c:v>
                </c:pt>
                <c:pt idx="4">
                  <c:v>45.13</c:v>
                </c:pt>
              </c:numCache>
            </c:numRef>
          </c:yVal>
          <c:smooth val="1"/>
          <c:extLst>
            <c:ext xmlns:c16="http://schemas.microsoft.com/office/drawing/2014/chart" uri="{C3380CC4-5D6E-409C-BE32-E72D297353CC}">
              <c16:uniqueId val="{00000004-EF8E-4246-9D93-EC2DE4B1D12E}"/>
            </c:ext>
          </c:extLst>
        </c:ser>
        <c:dLbls>
          <c:showLegendKey val="0"/>
          <c:showVal val="0"/>
          <c:showCatName val="0"/>
          <c:showSerName val="0"/>
          <c:showPercent val="0"/>
          <c:showBubbleSize val="0"/>
        </c:dLbls>
        <c:axId val="1878115199"/>
        <c:axId val="1858403199"/>
      </c:scatterChart>
      <c:catAx>
        <c:axId val="189634271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6344511"/>
        <c:crosses val="autoZero"/>
        <c:auto val="1"/>
        <c:lblAlgn val="ctr"/>
        <c:lblOffset val="100"/>
        <c:noMultiLvlLbl val="0"/>
      </c:catAx>
      <c:valAx>
        <c:axId val="1896344511"/>
        <c:scaling>
          <c:orientation val="minMax"/>
          <c:max val="250"/>
        </c:scaling>
        <c:delete val="0"/>
        <c:axPos val="l"/>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6342719"/>
        <c:crosses val="autoZero"/>
        <c:crossBetween val="between"/>
      </c:valAx>
      <c:valAx>
        <c:axId val="1858403199"/>
        <c:scaling>
          <c:orientation val="minMax"/>
        </c:scaling>
        <c:delete val="1"/>
        <c:axPos val="r"/>
        <c:numFmt formatCode="&quot;$&quot;#,##0.00_);\(&quot;$&quot;#,##0.00\)" sourceLinked="1"/>
        <c:majorTickMark val="out"/>
        <c:minorTickMark val="none"/>
        <c:tickLblPos val="nextTo"/>
        <c:crossAx val="1878115199"/>
        <c:crosses val="max"/>
        <c:crossBetween val="midCat"/>
      </c:valAx>
      <c:valAx>
        <c:axId val="1878115199"/>
        <c:scaling>
          <c:orientation val="minMax"/>
        </c:scaling>
        <c:delete val="1"/>
        <c:axPos val="t"/>
        <c:majorTickMark val="out"/>
        <c:minorTickMark val="none"/>
        <c:tickLblPos val="nextTo"/>
        <c:crossAx val="1858403199"/>
        <c:crosses val="max"/>
        <c:crossBetween val="midCat"/>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2</xdr:row>
      <xdr:rowOff>12700</xdr:rowOff>
    </xdr:from>
    <xdr:to>
      <xdr:col>14</xdr:col>
      <xdr:colOff>25400</xdr:colOff>
      <xdr:row>31</xdr:row>
      <xdr:rowOff>38100</xdr:rowOff>
    </xdr:to>
    <xdr:grpSp>
      <xdr:nvGrpSpPr>
        <xdr:cNvPr id="4" name="Group 3">
          <a:extLst>
            <a:ext uri="{FF2B5EF4-FFF2-40B4-BE49-F238E27FC236}">
              <a16:creationId xmlns:a16="http://schemas.microsoft.com/office/drawing/2014/main" id="{0575A005-FC89-45C4-0C69-72674DB16CEA}"/>
            </a:ext>
          </a:extLst>
        </xdr:cNvPr>
        <xdr:cNvGrpSpPr/>
      </xdr:nvGrpSpPr>
      <xdr:grpSpPr>
        <a:xfrm>
          <a:off x="825500" y="419100"/>
          <a:ext cx="10756900" cy="5918200"/>
          <a:chOff x="1333500" y="508000"/>
          <a:chExt cx="10490200" cy="5918200"/>
        </a:xfrm>
      </xdr:grpSpPr>
      <xdr:sp macro="" textlink="">
        <xdr:nvSpPr>
          <xdr:cNvPr id="2" name="TextBox 1">
            <a:extLst>
              <a:ext uri="{FF2B5EF4-FFF2-40B4-BE49-F238E27FC236}">
                <a16:creationId xmlns:a16="http://schemas.microsoft.com/office/drawing/2014/main" id="{A4999C31-128E-3326-061D-D8CE3FB5157C}"/>
              </a:ext>
            </a:extLst>
          </xdr:cNvPr>
          <xdr:cNvSpPr txBox="1"/>
        </xdr:nvSpPr>
        <xdr:spPr>
          <a:xfrm>
            <a:off x="1333500" y="508000"/>
            <a:ext cx="10490200" cy="5918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6600"/>
              <a:t>Complete </a:t>
            </a:r>
            <a:r>
              <a:rPr lang="en-US" sz="6600" baseline="0"/>
              <a:t>Financial Statement Analysis of Molson Coors Company</a:t>
            </a:r>
          </a:p>
          <a:p>
            <a:r>
              <a:rPr lang="en-US" sz="6600" baseline="0"/>
              <a:t>By: George Tupy</a:t>
            </a:r>
            <a:endParaRPr lang="en-US" sz="6600"/>
          </a:p>
        </xdr:txBody>
      </xdr:sp>
      <xdr:pic>
        <xdr:nvPicPr>
          <xdr:cNvPr id="3" name="Picture 2" descr="Home | Molson Coors">
            <a:extLst>
              <a:ext uri="{FF2B5EF4-FFF2-40B4-BE49-F238E27FC236}">
                <a16:creationId xmlns:a16="http://schemas.microsoft.com/office/drawing/2014/main" id="{65274BA2-89FE-49F5-98DB-ED6EA81D4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37400" y="5288570"/>
            <a:ext cx="4584700" cy="1074130"/>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655319</xdr:colOff>
      <xdr:row>32</xdr:row>
      <xdr:rowOff>66037</xdr:rowOff>
    </xdr:from>
    <xdr:to>
      <xdr:col>15</xdr:col>
      <xdr:colOff>318667</xdr:colOff>
      <xdr:row>45</xdr:row>
      <xdr:rowOff>197090</xdr:rowOff>
    </xdr:to>
    <xdr:graphicFrame macro="">
      <xdr:nvGraphicFramePr>
        <xdr:cNvPr id="2" name="Chart 1">
          <a:extLst>
            <a:ext uri="{FF2B5EF4-FFF2-40B4-BE49-F238E27FC236}">
              <a16:creationId xmlns:a16="http://schemas.microsoft.com/office/drawing/2014/main" id="{215FDFBE-48DF-B249-817A-F0994745B4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20</xdr:col>
      <xdr:colOff>108704</xdr:colOff>
      <xdr:row>23</xdr:row>
      <xdr:rowOff>11409</xdr:rowOff>
    </xdr:from>
    <xdr:to>
      <xdr:col>31</xdr:col>
      <xdr:colOff>441272</xdr:colOff>
      <xdr:row>42</xdr:row>
      <xdr:rowOff>161441</xdr:rowOff>
    </xdr:to>
    <xdr:graphicFrame macro="">
      <xdr:nvGraphicFramePr>
        <xdr:cNvPr id="2" name="Chart 1">
          <a:extLst>
            <a:ext uri="{FF2B5EF4-FFF2-40B4-BE49-F238E27FC236}">
              <a16:creationId xmlns:a16="http://schemas.microsoft.com/office/drawing/2014/main" id="{8C78CE0E-FB3B-3676-47EE-4BB196831B4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779695</xdr:colOff>
      <xdr:row>16</xdr:row>
      <xdr:rowOff>158646</xdr:rowOff>
    </xdr:from>
    <xdr:to>
      <xdr:col>14</xdr:col>
      <xdr:colOff>187377</xdr:colOff>
      <xdr:row>31</xdr:row>
      <xdr:rowOff>41640</xdr:rowOff>
    </xdr:to>
    <xdr:graphicFrame macro="">
      <xdr:nvGraphicFramePr>
        <xdr:cNvPr id="2" name="Chart 1">
          <a:extLst>
            <a:ext uri="{FF2B5EF4-FFF2-40B4-BE49-F238E27FC236}">
              <a16:creationId xmlns:a16="http://schemas.microsoft.com/office/drawing/2014/main" id="{305F6BEF-B5AA-FE3B-02ED-995DBF6855F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103056</xdr:colOff>
      <xdr:row>14</xdr:row>
      <xdr:rowOff>85777</xdr:rowOff>
    </xdr:from>
    <xdr:to>
      <xdr:col>11</xdr:col>
      <xdr:colOff>135326</xdr:colOff>
      <xdr:row>35</xdr:row>
      <xdr:rowOff>41639</xdr:rowOff>
    </xdr:to>
    <xdr:graphicFrame macro="">
      <xdr:nvGraphicFramePr>
        <xdr:cNvPr id="2" name="Chart 1">
          <a:extLst>
            <a:ext uri="{FF2B5EF4-FFF2-40B4-BE49-F238E27FC236}">
              <a16:creationId xmlns:a16="http://schemas.microsoft.com/office/drawing/2014/main" id="{0769B8A7-B803-FD06-E223-1F47A2E7D75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1041400</xdr:colOff>
      <xdr:row>2</xdr:row>
      <xdr:rowOff>101600</xdr:rowOff>
    </xdr:to>
    <xdr:pic>
      <xdr:nvPicPr>
        <xdr:cNvPr id="2" name="Picture 2">
          <a:extLst>
            <a:ext uri="{FF2B5EF4-FFF2-40B4-BE49-F238E27FC236}">
              <a16:creationId xmlns:a16="http://schemas.microsoft.com/office/drawing/2014/main" id="{DE51F2C2-975A-0D45-B154-7DA7BE83E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550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1041400</xdr:colOff>
      <xdr:row>2</xdr:row>
      <xdr:rowOff>101600</xdr:rowOff>
    </xdr:to>
    <xdr:pic>
      <xdr:nvPicPr>
        <xdr:cNvPr id="2" name="Picture 2">
          <a:extLst>
            <a:ext uri="{FF2B5EF4-FFF2-40B4-BE49-F238E27FC236}">
              <a16:creationId xmlns:a16="http://schemas.microsoft.com/office/drawing/2014/main" id="{21DCFC23-C074-B44A-A0FB-47F097142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550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1041400</xdr:colOff>
      <xdr:row>2</xdr:row>
      <xdr:rowOff>101600</xdr:rowOff>
    </xdr:to>
    <xdr:pic>
      <xdr:nvPicPr>
        <xdr:cNvPr id="2" name="Picture 2">
          <a:extLst>
            <a:ext uri="{FF2B5EF4-FFF2-40B4-BE49-F238E27FC236}">
              <a16:creationId xmlns:a16="http://schemas.microsoft.com/office/drawing/2014/main" id="{872380C9-FEF0-8D43-BBD2-F55E3189D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550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1041400</xdr:colOff>
      <xdr:row>2</xdr:row>
      <xdr:rowOff>101600</xdr:rowOff>
    </xdr:to>
    <xdr:pic>
      <xdr:nvPicPr>
        <xdr:cNvPr id="2" name="Picture 2">
          <a:extLst>
            <a:ext uri="{FF2B5EF4-FFF2-40B4-BE49-F238E27FC236}">
              <a16:creationId xmlns:a16="http://schemas.microsoft.com/office/drawing/2014/main" id="{28ED908B-EA82-894B-85C4-37CF3D9B2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550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1041400</xdr:colOff>
      <xdr:row>2</xdr:row>
      <xdr:rowOff>101600</xdr:rowOff>
    </xdr:to>
    <xdr:pic>
      <xdr:nvPicPr>
        <xdr:cNvPr id="2" name="Picture 2">
          <a:extLst>
            <a:ext uri="{FF2B5EF4-FFF2-40B4-BE49-F238E27FC236}">
              <a16:creationId xmlns:a16="http://schemas.microsoft.com/office/drawing/2014/main" id="{EFFEB559-3ACF-5944-B414-3A5AF939D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550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1041400</xdr:colOff>
      <xdr:row>2</xdr:row>
      <xdr:rowOff>101600</xdr:rowOff>
    </xdr:to>
    <xdr:pic>
      <xdr:nvPicPr>
        <xdr:cNvPr id="2" name="Picture 2">
          <a:extLst>
            <a:ext uri="{FF2B5EF4-FFF2-40B4-BE49-F238E27FC236}">
              <a16:creationId xmlns:a16="http://schemas.microsoft.com/office/drawing/2014/main" id="{6C5F0797-5DDA-0840-8C59-61B611D6B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550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ropbox/Teaching/FNCE%203477/Gentex%20case%20study/2018S/10.%20Gentex_ValuationChart_Solution_2018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htran13/Downloads/KKD_multipl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NTX_Chart"/>
      <sheetName val="GNTX_Comps"/>
      <sheetName val="VC_LTM"/>
      <sheetName val="VC_IS"/>
      <sheetName val="VC_CF"/>
      <sheetName val="VC_BS"/>
      <sheetName val="THRM_LTM"/>
      <sheetName val="THRM_IS"/>
      <sheetName val="THRM_CF"/>
      <sheetName val="THRM_BS"/>
      <sheetName val="BWA_LTM"/>
      <sheetName val="BWA_IS"/>
      <sheetName val="BWA_CF"/>
      <sheetName val="BWA_BS"/>
      <sheetName val="AXL_LTM"/>
      <sheetName val="AXL_IS"/>
      <sheetName val="AXL_CF"/>
      <sheetName val="AXL_BS"/>
      <sheetName val="DAN_LTM"/>
      <sheetName val="DAN_IS"/>
      <sheetName val="DAN_CF"/>
      <sheetName val="DAN_BS"/>
      <sheetName val="LEA_LTM"/>
      <sheetName val="LEA_IS"/>
      <sheetName val="LEA_CF"/>
      <sheetName val="LEA_BS"/>
      <sheetName val="GNTX_LTM"/>
      <sheetName val="RegBeta"/>
      <sheetName val="Gentex_BS_Vertical"/>
      <sheetName val="Gentex_IS_Vertical"/>
      <sheetName val="Gentex_IS_Horizontal"/>
      <sheetName val="Gentex_Ratios"/>
      <sheetName val="GNTX_DCF"/>
      <sheetName val="Gentex_IS"/>
      <sheetName val="Gentex_CF"/>
      <sheetName val="Gentex_BS"/>
    </sheetNames>
    <sheetDataSet>
      <sheetData sheetId="0">
        <row r="8">
          <cell r="F8" t="str">
            <v>Low</v>
          </cell>
        </row>
      </sheetData>
      <sheetData sheetId="1"/>
      <sheetData sheetId="2"/>
      <sheetData sheetId="3"/>
      <sheetData sheetId="4">
        <row r="109">
          <cell r="B109">
            <v>393</v>
          </cell>
        </row>
      </sheetData>
      <sheetData sheetId="5">
        <row r="109">
          <cell r="B109">
            <v>393</v>
          </cell>
        </row>
      </sheetData>
      <sheetData sheetId="6"/>
      <sheetData sheetId="7"/>
      <sheetData sheetId="8">
        <row r="78">
          <cell r="B78">
            <v>144.66900000000001</v>
          </cell>
        </row>
      </sheetData>
      <sheetData sheetId="9">
        <row r="78">
          <cell r="B78">
            <v>144.66900000000001</v>
          </cell>
        </row>
      </sheetData>
      <sheetData sheetId="10"/>
      <sheetData sheetId="11"/>
      <sheetData sheetId="12">
        <row r="111">
          <cell r="B111">
            <v>2188.2999999999997</v>
          </cell>
        </row>
      </sheetData>
      <sheetData sheetId="13">
        <row r="111">
          <cell r="B111">
            <v>2188.2999999999997</v>
          </cell>
        </row>
      </sheetData>
      <sheetData sheetId="14"/>
      <sheetData sheetId="15"/>
      <sheetData sheetId="16">
        <row r="65">
          <cell r="B65">
            <v>3975.2000000000003</v>
          </cell>
        </row>
      </sheetData>
      <sheetData sheetId="17">
        <row r="65">
          <cell r="B65">
            <v>3975.2000000000003</v>
          </cell>
        </row>
      </sheetData>
      <sheetData sheetId="18"/>
      <sheetData sheetId="19"/>
      <sheetData sheetId="20">
        <row r="94">
          <cell r="B94">
            <v>1799</v>
          </cell>
        </row>
      </sheetData>
      <sheetData sheetId="21">
        <row r="94">
          <cell r="B94">
            <v>1799</v>
          </cell>
        </row>
      </sheetData>
      <sheetData sheetId="22"/>
      <sheetData sheetId="23"/>
      <sheetData sheetId="24">
        <row r="58">
          <cell r="B58">
            <v>1960.5</v>
          </cell>
        </row>
      </sheetData>
      <sheetData sheetId="25">
        <row r="11">
          <cell r="E11">
            <v>-644.27200000000005</v>
          </cell>
        </row>
        <row r="58">
          <cell r="B58">
            <v>1960.5</v>
          </cell>
        </row>
      </sheetData>
      <sheetData sheetId="26">
        <row r="11">
          <cell r="E11">
            <v>-644.27200000000005</v>
          </cell>
        </row>
        <row r="12">
          <cell r="E12">
            <v>0</v>
          </cell>
        </row>
        <row r="13">
          <cell r="E13">
            <v>0</v>
          </cell>
        </row>
      </sheetData>
      <sheetData sheetId="27">
        <row r="2">
          <cell r="H2">
            <v>1.2817751894259708</v>
          </cell>
        </row>
      </sheetData>
      <sheetData sheetId="28"/>
      <sheetData sheetId="29"/>
      <sheetData sheetId="30"/>
      <sheetData sheetId="31"/>
      <sheetData sheetId="32"/>
      <sheetData sheetId="33"/>
      <sheetData sheetId="34"/>
      <sheetData sheetId="35">
        <row r="30">
          <cell r="B30">
            <v>78</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Summary_Perf"/>
      <sheetName val="KKD_IS_LY"/>
      <sheetName val="KKD_IS_LQ"/>
      <sheetName val="KKD_BS_LQ"/>
      <sheetName val="KKD_LTM"/>
      <sheetName val="Dunkin_BS_LY"/>
      <sheetName val="Dunkin_IS_LY"/>
      <sheetName val="Denny_BS_LQ"/>
      <sheetName val="Denny_IS_LY"/>
      <sheetName val="Denny_IS_LQ"/>
      <sheetName val="Denny_LTM"/>
      <sheetName val="Sonic_BS_LQ"/>
      <sheetName val="Sonic_IS_LY"/>
      <sheetName val="Sonic_IS_LQ"/>
      <sheetName val="Sonic_LTM"/>
      <sheetName val="Panera_BS_LY"/>
      <sheetName val="Panera_IS_LY"/>
      <sheetName val="DineEquity_BS_LQ"/>
      <sheetName val="DineEquity_IS_LY"/>
      <sheetName val="DineEquity_IS_LQ"/>
      <sheetName val="DineEquity_LTM"/>
      <sheetName val="RedRobin_BS_LY"/>
      <sheetName val="RedRobin_IS_LY"/>
    </sheetNames>
    <sheetDataSet>
      <sheetData sheetId="0"/>
      <sheetData sheetId="1"/>
      <sheetData sheetId="2"/>
      <sheetData sheetId="3"/>
      <sheetData sheetId="4">
        <row r="3">
          <cell r="B3">
            <v>37.268999999999998</v>
          </cell>
        </row>
      </sheetData>
      <sheetData sheetId="5">
        <row r="6">
          <cell r="E6">
            <v>68.782999999999973</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7127335-4420-5F43-ABDB-B639407DB609}" name="Table1" displayName="Table1" ref="A28:B39" totalsRowShown="0">
  <autoFilter ref="A28:B39" xr:uid="{7197687F-2CD9-A343-811F-3550CFA0488E}"/>
  <tableColumns count="2">
    <tableColumn id="1" xr3:uid="{8F5D5C68-4A2E-B34B-90EB-44DB88DFC4CF}" name="Ratios Heinekein "/>
    <tableColumn id="2" xr3:uid="{065A7A2A-D172-594F-A9C4-5506680084F9}" name="2024" dataDxfId="3">
      <calculatedColumnFormula>INDEX('Heineken Ratios'!$A$12:$F$159,MATCH('Ratio Analysis'!$A29,'Heineken Ratios'!$A$12:$A$159,0),MATCH('Ratio Analysis'!$F$2,'Heineken Ratios'!$A$13:$F$13,0))</calculatedColumnFormula>
    </tableColumn>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83CB137-18B6-0B44-A380-974D9D872B34}" name="Table2" displayName="Table2" ref="A42:B53" totalsRowShown="0">
  <autoFilter ref="A42:B53" xr:uid="{550ED660-988E-8F41-A868-B795AD6271CD}"/>
  <tableColumns count="2">
    <tableColumn id="1" xr3:uid="{BBA15C06-C04F-594B-B56B-9743BF9946BF}" name="Ratios Constellation"/>
    <tableColumn id="2" xr3:uid="{C0493BB6-51A3-7046-ADD9-C440935B2A9F}" name="2024" dataDxfId="2">
      <calculatedColumnFormula>INDEX('Constellation Brands Ratios'!$A$12:$F$159,MATCH('Ratio Analysis'!$A43,'Constellation Brands Ratios'!$A$12:$A$159,0),MATCH('Ratio Analysis'!$F$2,'Constellation Brands Ratios'!$A$13:$F$13,0))</calculatedColumnFormula>
    </tableColumn>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30573FE-052C-6A49-8EFB-315D10DD0C04}" name="Table3" displayName="Table3" ref="A56:B67" totalsRowShown="0">
  <autoFilter ref="A56:B67" xr:uid="{35C44A93-943C-2D43-91A1-FF6D38CB13EB}"/>
  <tableColumns count="2">
    <tableColumn id="1" xr3:uid="{6289EFF6-6E8E-C343-8AC2-7717D485B428}" name="Ratios Boston-Beer"/>
    <tableColumn id="2" xr3:uid="{39D03A86-CB72-2F49-A3A5-C2EF633D4C95}" name="2024" dataDxfId="1">
      <calculatedColumnFormula>INDEX('Boston Beer Ratios'!$A$12:$F$159,MATCH('Ratio Analysis'!$A57,'Boston Beer Ratios'!$A$12:$A$159,0),MATCH('Ratio Analysis'!$F$2,'Boston Beer Ratios'!$A$13:$F$13,0))</calculatedColumnFormula>
    </tableColumn>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C946E7-1871-0243-89E8-9D09ED5DDACE}" name="Table4" displayName="Table4" ref="A70:B81" totalsRowShown="0">
  <autoFilter ref="A70:B81" xr:uid="{5EE9919F-6701-BC4B-928E-145D2EC023FC}"/>
  <tableColumns count="2">
    <tableColumn id="1" xr3:uid="{4D71C653-E04D-284F-9FFF-0FC7719A4F9A}" name="Ratios Busch "/>
    <tableColumn id="2" xr3:uid="{78DD9DE0-C2F8-934A-8BEB-C54A63C3B2AF}" name="2024" dataDxfId="0">
      <calculatedColumnFormula>INDEX('Busch Ratios'!$A$12:$F$159,MATCH('Ratio Analysis'!$A71,'Busch Ratios'!$A$12:$A$159,0),MATCH('Ratio Analysis'!$F$2,'Busch Ratios'!$A$13:$F$13,0))</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javascript:void(0);"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F0860-680F-9949-ADEA-BB62CA6C9C17}">
  <dimension ref="A1"/>
  <sheetViews>
    <sheetView tabSelected="1" workbookViewId="0">
      <selection activeCell="P14" sqref="P14"/>
    </sheetView>
  </sheetViews>
  <sheetFormatPr baseColWidth="10" defaultRowHeight="16" x14ac:dyDescent="0.2"/>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9CCFA-FC12-834F-9C92-7F1F8E389725}">
  <dimension ref="A1:O81"/>
  <sheetViews>
    <sheetView zoomScale="133" workbookViewId="0">
      <selection activeCell="B4" sqref="B4"/>
    </sheetView>
  </sheetViews>
  <sheetFormatPr baseColWidth="10" defaultColWidth="11" defaultRowHeight="16" x14ac:dyDescent="0.2"/>
  <cols>
    <col min="1" max="1" width="20.6640625" customWidth="1"/>
    <col min="2" max="2" width="12.83203125" bestFit="1" customWidth="1"/>
    <col min="7" max="7" width="14.83203125" customWidth="1"/>
    <col min="9" max="9" width="20.1640625" customWidth="1"/>
    <col min="10" max="10" width="16.6640625" customWidth="1"/>
    <col min="13" max="13" width="20.5" customWidth="1"/>
  </cols>
  <sheetData>
    <row r="1" spans="1:13" x14ac:dyDescent="0.2">
      <c r="A1" s="34" t="s">
        <v>191</v>
      </c>
      <c r="B1" s="37"/>
      <c r="C1" s="34"/>
      <c r="D1" s="34"/>
      <c r="E1" s="34"/>
      <c r="F1" s="34"/>
      <c r="G1" s="34"/>
    </row>
    <row r="2" spans="1:13" ht="32" x14ac:dyDescent="0.2">
      <c r="A2" s="196" t="s">
        <v>200</v>
      </c>
      <c r="B2" s="197">
        <v>2020</v>
      </c>
      <c r="C2" s="197">
        <v>2021</v>
      </c>
      <c r="D2" s="197">
        <v>2022</v>
      </c>
      <c r="E2" s="197">
        <v>2023</v>
      </c>
      <c r="F2" s="197">
        <v>2024</v>
      </c>
      <c r="G2" s="198" t="s">
        <v>269</v>
      </c>
      <c r="I2" s="211" t="s">
        <v>490</v>
      </c>
      <c r="J2" s="211"/>
      <c r="K2" s="211"/>
    </row>
    <row r="3" spans="1:13" x14ac:dyDescent="0.2">
      <c r="A3" s="213" t="s">
        <v>192</v>
      </c>
      <c r="B3" s="193"/>
      <c r="C3" s="194"/>
      <c r="D3" s="194"/>
      <c r="E3" s="194"/>
      <c r="F3" s="193"/>
      <c r="G3" s="328"/>
      <c r="I3" s="212" t="s">
        <v>192</v>
      </c>
    </row>
    <row r="4" spans="1:13" ht="16" customHeight="1" x14ac:dyDescent="0.2">
      <c r="A4" s="330" t="s">
        <v>239</v>
      </c>
      <c r="B4" s="336">
        <f>INDEX('Balance Sheet'!$A$10:$F$64,MATCH('Ratio Analysis'!$J$4,'Balance Sheet'!$A$10:$A$64,0),MATCH('Ratio Analysis'!B$2,'Balance Sheet'!$A$11:$F$11,0))/INDEX('Balance Sheet'!$A$10:$F$64,MATCH('Ratio Analysis'!$K$4,'Balance Sheet'!$A$10:$A$64,0),MATCH('Ratio Analysis'!B$2,'Balance Sheet'!$A$11:$F$11,0))</f>
        <v>0.61868221812973201</v>
      </c>
      <c r="C4" s="336">
        <f>INDEX('Balance Sheet'!$A$10:$F$64,MATCH('Ratio Analysis'!$J$4,'Balance Sheet'!$A$10:$A$64,0),MATCH('Ratio Analysis'!C$2,'Balance Sheet'!$A$11:$F$11,0))/INDEX('Balance Sheet'!$A$10:$F$64,MATCH('Ratio Analysis'!$K$4,'Balance Sheet'!$A$10:$A$64,0),MATCH('Ratio Analysis'!C$2,'Balance Sheet'!$A$11:$F$11,0))</f>
        <v>0.76713047319308703</v>
      </c>
      <c r="D4" s="336">
        <f>INDEX('Balance Sheet'!$A$10:$F$64,MATCH('Ratio Analysis'!$J$4,'Balance Sheet'!$A$10:$A$64,0),MATCH('Ratio Analysis'!D$2,'Balance Sheet'!$A$11:$F$11,0))/INDEX('Balance Sheet'!$A$10:$F$64,MATCH('Ratio Analysis'!$K$4,'Balance Sheet'!$A$10:$A$64,0),MATCH('Ratio Analysis'!D$2,'Balance Sheet'!$A$11:$F$11,0))</f>
        <v>0.78153700302186402</v>
      </c>
      <c r="E4" s="336">
        <f>INDEX('Balance Sheet'!$A$10:$F$64,MATCH('Ratio Analysis'!$J$4,'Balance Sheet'!$A$10:$A$64,0),MATCH('Ratio Analysis'!E$2,'Balance Sheet'!$A$11:$F$11,0))/INDEX('Balance Sheet'!$A$10:$F$64,MATCH('Ratio Analysis'!$K$4,'Balance Sheet'!$A$10:$A$64,0),MATCH('Ratio Analysis'!E$2,'Balance Sheet'!$A$11:$F$11,0))</f>
        <v>0.69601231490983728</v>
      </c>
      <c r="F4" s="336">
        <f>INDEX('Balance Sheet'!$A$10:$F$64,MATCH('Ratio Analysis'!$J$4,'Balance Sheet'!$A$10:$A$64,0),MATCH('Ratio Analysis'!F$2,'Balance Sheet'!$A$11:$F$11,0))/INDEX('Balance Sheet'!$A$10:$F$64,MATCH('Ratio Analysis'!$K$4,'Balance Sheet'!$A$10:$A$64,0),MATCH('Ratio Analysis'!F$2,'Balance Sheet'!$A$11:$F$11,0))</f>
        <v>0.93537370287665844</v>
      </c>
      <c r="G4" s="335">
        <f>AVERAGE(B29,B43,B57,B71)</f>
        <v>1.1124197499999999</v>
      </c>
      <c r="I4" s="330" t="s">
        <v>239</v>
      </c>
      <c r="J4" s="7" t="s">
        <v>491</v>
      </c>
      <c r="K4" s="7" t="s">
        <v>159</v>
      </c>
    </row>
    <row r="5" spans="1:13" x14ac:dyDescent="0.2">
      <c r="A5" s="327" t="s">
        <v>238</v>
      </c>
      <c r="B5" s="200">
        <f>(INDEX('Balance Sheet'!$A$10:$F$64,MATCH('Ratio Analysis'!$J$5,'Balance Sheet'!$A$10:$A$64,0),MATCH('Ratio Analysis'!B$2,'Balance Sheet'!$A$11:$F$11,0))-INDEX('Balance Sheet'!$A$10:$F$64,MATCH('Ratio Analysis'!$K$5,'Balance Sheet'!$A$10:$A$64,0),MATCH('Ratio Analysis'!B$2,'Balance Sheet'!$A$11:$F$11,0)))/INDEX('Balance Sheet'!$A$10:$F$64,MATCH('Ratio Analysis'!$L$5,'Balance Sheet'!$A$10:$A$64,0),MATCH('Ratio Analysis'!B$2,'Balance Sheet'!$A$11:$F$11,0))</f>
        <v>0.44876713730304896</v>
      </c>
      <c r="C5" s="200">
        <f>(INDEX('Balance Sheet'!$A$10:$F$64,MATCH('Ratio Analysis'!$J$5,'Balance Sheet'!$A$10:$A$64,0),MATCH('Ratio Analysis'!C$2,'Balance Sheet'!$A$11:$F$11,0))-INDEX('Balance Sheet'!$A$10:$F$64,MATCH('Ratio Analysis'!$K$5,'Balance Sheet'!$A$10:$A$64,0),MATCH('Ratio Analysis'!C$2,'Balance Sheet'!$A$11:$F$11,0)))/INDEX('Balance Sheet'!$A$10:$F$64,MATCH('Ratio Analysis'!$L$5,'Balance Sheet'!$A$10:$A$64,0),MATCH('Ratio Analysis'!C$2,'Balance Sheet'!$A$11:$F$11,0))</f>
        <v>0.54497266854397874</v>
      </c>
      <c r="D5" s="200">
        <f>(INDEX('Balance Sheet'!$A$10:$F$64,MATCH('Ratio Analysis'!$J$5,'Balance Sheet'!$A$10:$A$64,0),MATCH('Ratio Analysis'!D$2,'Balance Sheet'!$A$11:$F$11,0))-INDEX('Balance Sheet'!$A$10:$F$64,MATCH('Ratio Analysis'!$K$5,'Balance Sheet'!$A$10:$A$64,0),MATCH('Ratio Analysis'!D$2,'Balance Sheet'!$A$11:$F$11,0)))/INDEX('Balance Sheet'!$A$10:$F$64,MATCH('Ratio Analysis'!$L$5,'Balance Sheet'!$A$10:$A$64,0),MATCH('Ratio Analysis'!D$2,'Balance Sheet'!$A$11:$F$11,0))</f>
        <v>0.54663151033951529</v>
      </c>
      <c r="E5" s="200">
        <f>(INDEX('Balance Sheet'!$A$10:$F$64,MATCH('Ratio Analysis'!$J$5,'Balance Sheet'!$A$10:$A$64,0),MATCH('Ratio Analysis'!E$2,'Balance Sheet'!$A$11:$F$11,0))-INDEX('Balance Sheet'!$A$10:$F$64,MATCH('Ratio Analysis'!$K$5,'Balance Sheet'!$A$10:$A$64,0),MATCH('Ratio Analysis'!E$2,'Balance Sheet'!$A$11:$F$11,0)))/INDEX('Balance Sheet'!$A$10:$F$64,MATCH('Ratio Analysis'!$L$5,'Balance Sheet'!$A$10:$A$64,0),MATCH('Ratio Analysis'!E$2,'Balance Sheet'!$A$11:$F$11,0))</f>
        <v>0.49997556565508483</v>
      </c>
      <c r="F5" s="200">
        <f>(INDEX('Balance Sheet'!$A$10:$F$64,MATCH('Ratio Analysis'!$J$5,'Balance Sheet'!$A$10:$A$64,0),MATCH('Ratio Analysis'!F$2,'Balance Sheet'!$A$11:$F$11,0))-INDEX('Balance Sheet'!$A$10:$F$64,MATCH('Ratio Analysis'!$K$5,'Balance Sheet'!$A$10:$A$64,0),MATCH('Ratio Analysis'!F$2,'Balance Sheet'!$A$11:$F$11,0)))/INDEX('Balance Sheet'!$A$10:$F$64,MATCH('Ratio Analysis'!$L$5,'Balance Sheet'!$A$10:$A$64,0),MATCH('Ratio Analysis'!F$2,'Balance Sheet'!$A$11:$F$11,0))</f>
        <v>0.69637462235649561</v>
      </c>
      <c r="G5" s="341">
        <f>AVERAGE(B30,B44,B58,B72)</f>
        <v>0.64284974999999989</v>
      </c>
      <c r="I5" s="327" t="s">
        <v>238</v>
      </c>
      <c r="J5" s="7" t="s">
        <v>491</v>
      </c>
      <c r="K5" s="5" t="s">
        <v>179</v>
      </c>
      <c r="L5" s="7" t="s">
        <v>159</v>
      </c>
    </row>
    <row r="6" spans="1:13" x14ac:dyDescent="0.2">
      <c r="A6" s="330"/>
      <c r="B6" s="201"/>
      <c r="C6" s="201"/>
      <c r="D6" s="201"/>
      <c r="E6" s="201"/>
      <c r="F6" s="201"/>
      <c r="G6" s="331"/>
      <c r="I6" s="330"/>
    </row>
    <row r="7" spans="1:13" x14ac:dyDescent="0.2">
      <c r="A7" s="213" t="s">
        <v>193</v>
      </c>
      <c r="B7" s="202"/>
      <c r="C7" s="202"/>
      <c r="D7" s="202"/>
      <c r="E7" s="202"/>
      <c r="F7" s="202"/>
      <c r="G7" s="328"/>
      <c r="I7" s="213" t="s">
        <v>193</v>
      </c>
    </row>
    <row r="8" spans="1:13" ht="23" customHeight="1" x14ac:dyDescent="0.2">
      <c r="A8" s="338" t="s">
        <v>235</v>
      </c>
      <c r="B8" s="340">
        <f>365/(INDEX('Income Statement'!$A$10:$F$57,MATCH('Ratio Analysis'!$J$8,'Income Statement'!$A$10:$A$57,0),MATCH('Ratio Analysis'!B$2,'Income Statement'!$A$11:$F$11,0))/INDEX('Balance Sheet'!$A$10:$F$64,MATCH('Ratio Analysis'!$K$8,'Balance Sheet'!$A$10:$A$64,0),MATCH('Ratio Analysis'!B$2,'Balance Sheet'!$A$11:$F$11,0)))</f>
        <v>41.390467899148184</v>
      </c>
      <c r="C8" s="340">
        <f>365/(INDEX('Income Statement'!$A$10:$F$57,MATCH('Ratio Analysis'!$J$8,'Income Statement'!$A$10:$A$57,0),MATCH('Ratio Analysis'!C$2,'Income Statement'!$A$11:$F$11,0))/INDEX('Balance Sheet'!$A$10:$F$64,MATCH('Ratio Analysis'!$K$8,'Balance Sheet'!$A$10:$A$64,0),MATCH('Ratio Analysis'!C$2,'Balance Sheet'!$A$11:$F$11,0)))</f>
        <v>47.173361386377145</v>
      </c>
      <c r="D8" s="340">
        <f>365/(INDEX('Income Statement'!$A$10:$F$57,MATCH('Ratio Analysis'!$J$8,'Income Statement'!$A$10:$A$57,0),MATCH('Ratio Analysis'!D$2,'Income Statement'!$A$11:$F$11,0))/INDEX('Balance Sheet'!$A$10:$F$64,MATCH('Ratio Analysis'!$K$8,'Balance Sheet'!$A$10:$A$64,0),MATCH('Ratio Analysis'!D$2,'Balance Sheet'!$A$11:$F$11,0)))</f>
        <v>41.075321468108655</v>
      </c>
      <c r="E8" s="340">
        <f>365/(INDEX('Income Statement'!$A$10:$F$57,MATCH('Ratio Analysis'!$J$8,'Income Statement'!$A$10:$A$57,0),MATCH('Ratio Analysis'!E$2,'Income Statement'!$A$11:$F$11,0))/INDEX('Balance Sheet'!$A$10:$F$64,MATCH('Ratio Analysis'!$K$8,'Balance Sheet'!$A$10:$A$64,0),MATCH('Ratio Analysis'!E$2,'Balance Sheet'!$A$11:$F$11,0)))</f>
        <v>39.932840603820921</v>
      </c>
      <c r="F8" s="340">
        <f>365/(INDEX('Income Statement'!$A$10:$F$57,MATCH('Ratio Analysis'!$J$8,'Income Statement'!$A$10:$A$57,0),MATCH('Ratio Analysis'!F$2,'Income Statement'!$A$11:$F$11,0))/INDEX('Balance Sheet'!$A$10:$F$64,MATCH('Ratio Analysis'!$K$8,'Balance Sheet'!$A$10:$A$64,0),MATCH('Ratio Analysis'!F$2,'Balance Sheet'!$A$11:$F$11,0)))</f>
        <v>37.448827111762711</v>
      </c>
      <c r="G8" s="339">
        <f>AVERAGE(B31,B45,B59,B73)</f>
        <v>82.023469000000006</v>
      </c>
      <c r="I8" s="338" t="s">
        <v>235</v>
      </c>
      <c r="J8" s="5" t="s">
        <v>84</v>
      </c>
      <c r="K8" s="5" t="s">
        <v>179</v>
      </c>
      <c r="L8" s="191"/>
    </row>
    <row r="9" spans="1:13" ht="22" customHeight="1" x14ac:dyDescent="0.2">
      <c r="A9" s="327" t="s">
        <v>236</v>
      </c>
      <c r="B9" s="203">
        <f>365/(INDEX('Income Statement'!$A$10:$F$15,MATCH('Ratio Analysis'!$J$9,'Income Statement'!$A$10:$A$15,0),MATCH('Ratio Analysis'!B$2,'Income Statement'!$A$11:$F$11,0))/INDEX('Balance Sheet'!$A$10:$F$19,MATCH('Ratio Analysis'!$K$9,'Balance Sheet'!$A$10:$A$19,0),MATCH('Ratio Analysis'!$B$2,'Balance Sheet'!$A$11:$F$11,0)))</f>
        <v>20.779366065879429</v>
      </c>
      <c r="C9" s="203">
        <f>365/(INDEX('Income Statement'!$A$10:$F$15,MATCH('Ratio Analysis'!$J$9,'Income Statement'!$A$10:$A$15,0),MATCH('Ratio Analysis'!C$2,'Income Statement'!$A$11:$F$11,0))/INDEX('Balance Sheet'!$A$10:$F$19,MATCH('Ratio Analysis'!$K$9,'Balance Sheet'!$A$10:$A$19,0),MATCH('Ratio Analysis'!$B$2,'Balance Sheet'!$A$11:$F$11,0)))</f>
        <v>19.514577273655846</v>
      </c>
      <c r="D9" s="203">
        <f>365/(INDEX('Income Statement'!$A$10:$F$15,MATCH('Ratio Analysis'!$J$9,'Income Statement'!$A$10:$A$15,0),MATCH('Ratio Analysis'!D$2,'Income Statement'!$A$11:$F$11,0))/INDEX('Balance Sheet'!$A$10:$F$19,MATCH('Ratio Analysis'!$K$9,'Balance Sheet'!$A$10:$A$19,0),MATCH('Ratio Analysis'!$B$2,'Balance Sheet'!$A$11:$F$11,0)))</f>
        <v>18.746285393888421</v>
      </c>
      <c r="E9" s="203">
        <f>365/(INDEX('Income Statement'!$A$10:$F$15,MATCH('Ratio Analysis'!$J$9,'Income Statement'!$A$10:$A$15,0),MATCH('Ratio Analysis'!E$2,'Income Statement'!$A$11:$F$11,0))/INDEX('Balance Sheet'!$A$10:$F$19,MATCH('Ratio Analysis'!$K$9,'Balance Sheet'!$A$10:$A$19,0),MATCH('Ratio Analysis'!$B$2,'Balance Sheet'!$A$11:$F$11,0)))</f>
        <v>17.142564155151639</v>
      </c>
      <c r="F9" s="203">
        <f>365/(INDEX('Income Statement'!$A$10:$F$15,MATCH('Ratio Analysis'!$J$9,'Income Statement'!$A$10:$A$15,0),MATCH('Ratio Analysis'!F$2,'Income Statement'!$A$11:$F$11,0))/INDEX('Balance Sheet'!$A$10:$F$19,MATCH('Ratio Analysis'!$K$9,'Balance Sheet'!$A$10:$A$19,0),MATCH('Ratio Analysis'!$B$2,'Balance Sheet'!$A$11:$F$11,0)))</f>
        <v>17.253289756601017</v>
      </c>
      <c r="G9" s="337">
        <f>AVERAGE(B32,B46,B60,B74)</f>
        <v>27.1709885</v>
      </c>
      <c r="I9" s="327" t="s">
        <v>236</v>
      </c>
      <c r="J9" s="5" t="s">
        <v>87</v>
      </c>
      <c r="K9" s="5" t="s">
        <v>182</v>
      </c>
      <c r="M9" s="191"/>
    </row>
    <row r="10" spans="1:13" x14ac:dyDescent="0.2">
      <c r="A10" s="330" t="s">
        <v>244</v>
      </c>
      <c r="B10" s="336">
        <f>INDEX('Income Statement'!$A$10:$F$15,MATCH('Ratio Analysis'!$J$10,'Income Statement'!$A$10:$A$15,0),MATCH('Ratio Analysis'!B$2,'Income Statement'!$A$11:$F$11,0))/INDEX('Balance Sheet'!$A$10:$F$35,MATCH('Ratio Analysis'!$K$10,'Balance Sheet'!$A$10:$A$35,0),MATCH('Ratio Analysis'!B$2,'Balance Sheet'!$A$11:$F$11,0))</f>
        <v>0.35322398293519108</v>
      </c>
      <c r="C10" s="336">
        <f>INDEX('Income Statement'!$A$10:$F$15,MATCH('Ratio Analysis'!$J$10,'Income Statement'!$A$10:$A$15,0),MATCH('Ratio Analysis'!C$2,'Income Statement'!$A$11:$F$11,0))/INDEX('Balance Sheet'!$A$10:$F$35,MATCH('Ratio Analysis'!$K$10,'Balance Sheet'!$A$10:$A$35,0),MATCH('Ratio Analysis'!C$2,'Balance Sheet'!$A$11:$F$11,0))</f>
        <v>0.37219667620116587</v>
      </c>
      <c r="D10" s="336">
        <f>INDEX('Income Statement'!$A$10:$F$15,MATCH('Ratio Analysis'!$J$10,'Income Statement'!$A$10:$A$15,0),MATCH('Ratio Analysis'!D$2,'Income Statement'!$A$11:$F$11,0))/INDEX('Balance Sheet'!$A$10:$F$35,MATCH('Ratio Analysis'!$K$10,'Balance Sheet'!$A$10:$A$35,0),MATCH('Ratio Analysis'!D$2,'Balance Sheet'!$A$11:$F$11,0))</f>
        <v>0.41367233254601193</v>
      </c>
      <c r="E10" s="336">
        <f>INDEX('Income Statement'!$A$10:$F$15,MATCH('Ratio Analysis'!$J$10,'Income Statement'!$A$10:$A$15,0),MATCH('Ratio Analysis'!E$2,'Income Statement'!$A$11:$F$11,0))/INDEX('Balance Sheet'!$A$10:$F$35,MATCH('Ratio Analysis'!$K$10,'Balance Sheet'!$A$10:$A$35,0),MATCH('Ratio Analysis'!E$2,'Balance Sheet'!$A$11:$F$11,0))</f>
        <v>0.44367983438925351</v>
      </c>
      <c r="F10" s="336">
        <f>INDEX('Income Statement'!$A$10:$F$15,MATCH('Ratio Analysis'!$J$10,'Income Statement'!$A$10:$A$15,0),MATCH('Ratio Analysis'!F$2,'Income Statement'!$A$11:$F$11,0))/INDEX('Balance Sheet'!$A$10:$F$35,MATCH('Ratio Analysis'!$K$10,'Balance Sheet'!$A$10:$A$35,0),MATCH('Ratio Analysis'!F$2,'Balance Sheet'!$A$11:$F$11,0))</f>
        <v>0.44608909504571387</v>
      </c>
      <c r="G10" s="335">
        <f>AVERAGE(B33,B47,B61,B75)</f>
        <v>0.68150225000000009</v>
      </c>
      <c r="I10" s="330" t="s">
        <v>244</v>
      </c>
      <c r="J10" s="5" t="s">
        <v>87</v>
      </c>
      <c r="K10" s="7" t="s">
        <v>167</v>
      </c>
    </row>
    <row r="11" spans="1:13" x14ac:dyDescent="0.2">
      <c r="A11" s="213"/>
      <c r="B11" s="202"/>
      <c r="C11" s="202"/>
      <c r="D11" s="202"/>
      <c r="E11" s="202"/>
      <c r="F11" s="202"/>
      <c r="G11" s="328"/>
      <c r="I11" s="213"/>
    </row>
    <row r="12" spans="1:13" x14ac:dyDescent="0.2">
      <c r="A12" s="334" t="s">
        <v>194</v>
      </c>
      <c r="B12" s="204"/>
      <c r="C12" s="201"/>
      <c r="D12" s="201"/>
      <c r="E12" s="201"/>
      <c r="F12" s="201"/>
      <c r="G12" s="331"/>
      <c r="I12" s="334" t="s">
        <v>194</v>
      </c>
    </row>
    <row r="13" spans="1:13" x14ac:dyDescent="0.2">
      <c r="A13" s="327" t="s">
        <v>266</v>
      </c>
      <c r="B13" s="333">
        <f>(INDEX('Balance Sheet'!$A$10:$F$64,MATCH('Ratio Analysis'!$J$13,'Balance Sheet'!$A$10:$A$64,0),MATCH('Ratio Analysis'!B$2,'Balance Sheet'!$A$11:$F$11,0))-INDEX('Balance Sheet'!$A$10:$F$64,MATCH('Ratio Analysis'!$K$13,'Balance Sheet'!$A$10:$A$64,0),MATCH('Ratio Analysis'!B$2,'Balance Sheet'!$A$11:$F$11,0)))/INDEX('Balance Sheet'!$A$10:$F$64,MATCH('Ratio Analysis'!$J$13,'Balance Sheet'!$A$10:$A$64,0),MATCH('Ratio Analysis'!B$2,'Balance Sheet'!$A$11:$F$11,0))</f>
        <v>0.5382073901160217</v>
      </c>
      <c r="C13" s="333">
        <f>(INDEX('Balance Sheet'!$A$10:$F$64,MATCH('Ratio Analysis'!$J$13,'Balance Sheet'!$A$10:$A$64,0),MATCH('Ratio Analysis'!C$2,'Balance Sheet'!$A$11:$F$11,0))-INDEX('Balance Sheet'!$A$10:$F$64,MATCH('Ratio Analysis'!$K$13,'Balance Sheet'!$A$10:$A$64,0),MATCH('Ratio Analysis'!C$2,'Balance Sheet'!$A$11:$F$11,0)))/INDEX('Balance Sheet'!$A$10:$F$64,MATCH('Ratio Analysis'!$J$13,'Balance Sheet'!$A$10:$A$64,0),MATCH('Ratio Analysis'!C$2,'Balance Sheet'!$A$11:$F$11,0))</f>
        <v>0.50526449183533073</v>
      </c>
      <c r="D13" s="333">
        <f>(INDEX('Balance Sheet'!$A$10:$F$64,MATCH('Ratio Analysis'!$J$13,'Balance Sheet'!$A$10:$A$64,0),MATCH('Ratio Analysis'!D$2,'Balance Sheet'!$A$11:$F$11,0))-INDEX('Balance Sheet'!$A$10:$F$64,MATCH('Ratio Analysis'!$K$13,'Balance Sheet'!$A$10:$A$64,0),MATCH('Ratio Analysis'!D$2,'Balance Sheet'!$A$11:$F$11,0)))/INDEX('Balance Sheet'!$A$10:$F$64,MATCH('Ratio Analysis'!$J$13,'Balance Sheet'!$A$10:$A$64,0),MATCH('Ratio Analysis'!D$2,'Balance Sheet'!$A$11:$F$11,0))</f>
        <v>0.50073255683597295</v>
      </c>
      <c r="E13" s="333">
        <f>(INDEX('Balance Sheet'!$A$10:$F$64,MATCH('Ratio Analysis'!$J$13,'Balance Sheet'!$A$10:$A$64,0),MATCH('Ratio Analysis'!E$2,'Balance Sheet'!$A$11:$F$11,0))-INDEX('Balance Sheet'!$A$10:$F$64,MATCH('Ratio Analysis'!$K$13,'Balance Sheet'!$A$10:$A$64,0),MATCH('Ratio Analysis'!E$2,'Balance Sheet'!$A$11:$F$11,0)))/INDEX('Balance Sheet'!$A$10:$F$64,MATCH('Ratio Analysis'!$J$13,'Balance Sheet'!$A$10:$A$64,0),MATCH('Ratio Analysis'!E$2,'Balance Sheet'!$A$11:$F$11,0))</f>
        <v>0.49061425359524696</v>
      </c>
      <c r="F13" s="333">
        <f>(INDEX('Balance Sheet'!$A$10:$F$64,MATCH('Ratio Analysis'!$J$13,'Balance Sheet'!$A$10:$A$64,0),MATCH('Ratio Analysis'!F$2,'Balance Sheet'!$A$11:$F$11,0))-INDEX('Balance Sheet'!$A$10:$F$64,MATCH('Ratio Analysis'!$K$13,'Balance Sheet'!$A$10:$A$64,0),MATCH('Ratio Analysis'!F$2,'Balance Sheet'!$A$11:$F$11,0)))/INDEX('Balance Sheet'!$A$10:$F$64,MATCH('Ratio Analysis'!$J$13,'Balance Sheet'!$A$10:$A$64,0),MATCH('Ratio Analysis'!F$2,'Balance Sheet'!$A$11:$F$11,0))</f>
        <v>0.48386490333521326</v>
      </c>
      <c r="G13" s="329">
        <f>AVERAGE(B34,B48,B62,B76)</f>
        <v>0.36924825000000006</v>
      </c>
      <c r="I13" s="327" t="s">
        <v>266</v>
      </c>
      <c r="J13" s="7" t="s">
        <v>167</v>
      </c>
      <c r="K13" s="7" t="s">
        <v>145</v>
      </c>
    </row>
    <row r="14" spans="1:13" x14ac:dyDescent="0.2">
      <c r="A14" s="330" t="s">
        <v>267</v>
      </c>
      <c r="B14" s="336">
        <f>INDEX('Income Statement'!$A$10:$F$57,MATCH('Ratio Analysis'!$J$14,'Income Statement'!$A$10:$A$57,0),MATCH('Ratio Analysis'!B$2,'Income Statement'!$A$11:$F$11,0))/INDEX('Income Statement'!$A$10:$F$57,MATCH('Ratio Analysis'!$K$14,'Income Statement'!$A$10:$A$57,0),MATCH('Ratio Analysis'!B$2,'Income Statement'!$A$11:$F$11,0))*-1</f>
        <v>5.0589949016751632</v>
      </c>
      <c r="C14" s="336">
        <f>INDEX('Income Statement'!$A$10:$F$57,MATCH('Ratio Analysis'!$J$14,'Income Statement'!$A$10:$A$57,0),MATCH('Ratio Analysis'!C$2,'Income Statement'!$A$11:$F$11,0))/INDEX('Income Statement'!$A$10:$F$57,MATCH('Ratio Analysis'!$K$14,'Income Statement'!$A$10:$A$57,0),MATCH('Ratio Analysis'!C$2,'Income Statement'!$A$11:$F$11,0))*-1</f>
        <v>5.9366116019976944</v>
      </c>
      <c r="D14" s="336">
        <f>INDEX('Income Statement'!$A$10:$F$57,MATCH('Ratio Analysis'!$J$14,'Income Statement'!$A$10:$A$57,0),MATCH('Ratio Analysis'!D$2,'Income Statement'!$A$11:$F$11,0))/INDEX('Income Statement'!$A$10:$F$57,MATCH('Ratio Analysis'!$K$14,'Income Statement'!$A$10:$A$57,0),MATCH('Ratio Analysis'!D$2,'Income Statement'!$A$11:$F$11,0))*-1</f>
        <v>4.5051875498802874</v>
      </c>
      <c r="E14" s="336">
        <f>INDEX('Income Statement'!$A$10:$F$57,MATCH('Ratio Analysis'!$J$14,'Income Statement'!$A$10:$A$57,0),MATCH('Ratio Analysis'!E$2,'Income Statement'!$A$11:$F$11,0))/INDEX('Income Statement'!$A$10:$F$57,MATCH('Ratio Analysis'!$K$14,'Income Statement'!$A$10:$A$57,0),MATCH('Ratio Analysis'!E$2,'Income Statement'!$A$11:$F$11,0))*-1</f>
        <v>6.8337606837606835</v>
      </c>
      <c r="F14" s="336">
        <f>INDEX('Income Statement'!$A$10:$F$57,MATCH('Ratio Analysis'!$J$14,'Income Statement'!$A$10:$A$57,0),MATCH('Ratio Analysis'!F$2,'Income Statement'!$A$11:$F$11,0))/INDEX('Income Statement'!$A$10:$F$57,MATCH('Ratio Analysis'!$K$14,'Income Statement'!$A$10:$A$57,0),MATCH('Ratio Analysis'!F$2,'Income Statement'!$A$11:$F$11,0))*-1</f>
        <v>6.4057304563141146</v>
      </c>
      <c r="G14" s="335">
        <f>AVERAGE(B35,B49,B77)</f>
        <v>5.7229726666666663</v>
      </c>
      <c r="I14" s="330" t="s">
        <v>267</v>
      </c>
      <c r="J14" s="7" t="s">
        <v>76</v>
      </c>
      <c r="K14" s="5" t="s">
        <v>75</v>
      </c>
    </row>
    <row r="15" spans="1:13" x14ac:dyDescent="0.2">
      <c r="A15" s="213"/>
      <c r="B15" s="202"/>
      <c r="C15" s="202"/>
      <c r="D15" s="202"/>
      <c r="E15" s="202"/>
      <c r="F15" s="202"/>
      <c r="G15" s="328"/>
      <c r="I15" s="213"/>
    </row>
    <row r="16" spans="1:13" x14ac:dyDescent="0.2">
      <c r="A16" s="334" t="s">
        <v>195</v>
      </c>
      <c r="B16" s="204"/>
      <c r="C16" s="201"/>
      <c r="D16" s="201"/>
      <c r="E16" s="201"/>
      <c r="F16" s="201"/>
      <c r="G16" s="331"/>
      <c r="I16" s="334" t="s">
        <v>195</v>
      </c>
    </row>
    <row r="17" spans="1:15" ht="22" customHeight="1" x14ac:dyDescent="0.2">
      <c r="A17" s="327" t="s">
        <v>255</v>
      </c>
      <c r="B17" s="333">
        <f>INDEX('Income Statement'!$A$10:$F$57,MATCH('Ratio Analysis'!$J$17,'Income Statement'!$A$10:$A$57,0),MATCH('Ratio Analysis'!B$2,'Income Statement'!$A$11:$F$11,0))/INDEX('Income Statement'!$A$10:$F$57,MATCH('Ratio Analysis'!$K$17,'Income Statement'!$A$10:$A$57,0),MATCH('Ratio Analysis'!B$2,'Income Statement'!$A$11:$F$11,0))</f>
        <v>0.39319453076444999</v>
      </c>
      <c r="C17" s="333">
        <f>INDEX('Income Statement'!$A$10:$F$57,MATCH('Ratio Analysis'!$J$17,'Income Statement'!$A$10:$A$57,0),MATCH('Ratio Analysis'!C$2,'Income Statement'!$A$11:$F$11,0))/INDEX('Income Statement'!$A$10:$F$57,MATCH('Ratio Analysis'!$K$17,'Income Statement'!$A$10:$A$57,0),MATCH('Ratio Analysis'!C$2,'Income Statement'!$A$11:$F$11,0))</f>
        <v>0.39431111802873625</v>
      </c>
      <c r="D17" s="333">
        <f>INDEX('Income Statement'!$A$10:$F$57,MATCH('Ratio Analysis'!$J$17,'Income Statement'!$A$10:$A$57,0),MATCH('Ratio Analysis'!D$2,'Income Statement'!$A$11:$F$11,0))/INDEX('Income Statement'!$A$10:$F$57,MATCH('Ratio Analysis'!$K$17,'Income Statement'!$A$10:$A$57,0),MATCH('Ratio Analysis'!D$2,'Income Statement'!$A$11:$F$11,0))</f>
        <v>0.34157555368657133</v>
      </c>
      <c r="E17" s="333">
        <f>INDEX('Income Statement'!$A$10:$F$57,MATCH('Ratio Analysis'!$J$17,'Income Statement'!$A$10:$A$57,0),MATCH('Ratio Analysis'!E$2,'Income Statement'!$A$11:$F$11,0))/INDEX('Income Statement'!$A$10:$F$57,MATCH('Ratio Analysis'!$K$17,'Income Statement'!$A$10:$A$57,0),MATCH('Ratio Analysis'!E$2,'Income Statement'!$A$11:$F$11,0))</f>
        <v>0.37333470060929236</v>
      </c>
      <c r="F17" s="333">
        <f>INDEX('Income Statement'!$A$10:$F$57,MATCH('Ratio Analysis'!$J$17,'Income Statement'!$A$10:$A$57,0),MATCH('Ratio Analysis'!F$2,'Income Statement'!$A$11:$F$11,0))/INDEX('Income Statement'!$A$10:$F$57,MATCH('Ratio Analysis'!$K$17,'Income Statement'!$A$10:$A$57,0),MATCH('Ratio Analysis'!F$2,'Income Statement'!$A$11:$F$11,0))</f>
        <v>0.38990281241936869</v>
      </c>
      <c r="G17" s="329">
        <f>AVERAGE(B36,B50,B64,B78)</f>
        <v>0.46611775</v>
      </c>
      <c r="I17" s="327" t="s">
        <v>255</v>
      </c>
      <c r="J17" s="7" t="s">
        <v>83</v>
      </c>
      <c r="K17" s="5" t="s">
        <v>87</v>
      </c>
    </row>
    <row r="18" spans="1:15" ht="26" customHeight="1" x14ac:dyDescent="0.2">
      <c r="A18" s="330" t="s">
        <v>251</v>
      </c>
      <c r="B18" s="205">
        <f>INDEX('Income Statement'!$A$10:$F$28,MATCH('Ratio Analysis'!$J$18,'Income Statement'!$A$10:$A$28,0),MATCH('Ratio Analysis'!B$2,'Income Statement'!$A$11:$F$11,0))/INDEX('Income Statement'!$A$10:$F$28,MATCH('Ratio Analysis'!$K$18,'Income Statement'!$A$10:$A$28,0),MATCH('Ratio Analysis'!B$2,'Income Statement'!$A$11:$F$11,0))</f>
        <v>0.14389890200952973</v>
      </c>
      <c r="C18" s="205">
        <f>INDEX('Income Statement'!$A$10:$F$28,MATCH('Ratio Analysis'!$J$18,'Income Statement'!$A$10:$A$28,0),MATCH('Ratio Analysis'!C$2,'Income Statement'!$A$11:$F$11,0))/INDEX('Income Statement'!$A$10:$F$28,MATCH('Ratio Analysis'!$K$18,'Income Statement'!$A$10:$A$28,0),MATCH('Ratio Analysis'!C$2,'Income Statement'!$A$11:$F$11,0))</f>
        <v>0.15032539860112648</v>
      </c>
      <c r="D18" s="205">
        <f>INDEX('Income Statement'!$A$10:$F$28,MATCH('Ratio Analysis'!$J$18,'Income Statement'!$A$10:$A$28,0),MATCH('Ratio Analysis'!D$2,'Income Statement'!$A$11:$F$11,0))/INDEX('Income Statement'!$A$10:$F$28,MATCH('Ratio Analysis'!$K$18,'Income Statement'!$A$10:$A$28,0),MATCH('Ratio Analysis'!D$2,'Income Statement'!$A$11:$F$11,0))</f>
        <v>0.10550415848986076</v>
      </c>
      <c r="E18" s="205">
        <f>INDEX('Income Statement'!$A$10:$F$28,MATCH('Ratio Analysis'!$J$18,'Income Statement'!$A$10:$A$28,0),MATCH('Ratio Analysis'!E$2,'Income Statement'!$A$11:$F$11,0))/INDEX('Income Statement'!$A$10:$F$28,MATCH('Ratio Analysis'!$K$18,'Income Statement'!$A$10:$A$28,0),MATCH('Ratio Analysis'!E$2,'Income Statement'!$A$11:$F$11,0))</f>
        <v>0.13665068662889565</v>
      </c>
      <c r="F18" s="205">
        <f>INDEX('Income Statement'!$A$10:$F$28,MATCH('Ratio Analysis'!$J$18,'Income Statement'!$A$10:$A$28,0),MATCH('Ratio Analysis'!F$2,'Income Statement'!$A$11:$F$11,0))/INDEX('Income Statement'!$A$10:$F$28,MATCH('Ratio Analysis'!$K$18,'Income Statement'!$A$10:$A$28,0),MATCH('Ratio Analysis'!F$2,'Income Statement'!$A$11:$F$11,0))</f>
        <v>0.15574954846478026</v>
      </c>
      <c r="G18" s="199">
        <f>AVERAGE(B37,B51,B65,B79)</f>
        <v>0.19490425</v>
      </c>
      <c r="I18" s="330" t="s">
        <v>251</v>
      </c>
      <c r="J18" s="7" t="s">
        <v>76</v>
      </c>
      <c r="K18" s="5" t="s">
        <v>87</v>
      </c>
    </row>
    <row r="19" spans="1:15" ht="16" customHeight="1" x14ac:dyDescent="0.2">
      <c r="A19" s="327" t="s">
        <v>260</v>
      </c>
      <c r="B19" s="333">
        <f>INDEX('Income Statement'!$A$10:$F$57,MATCH('Ratio Analysis'!$J$19,'Income Statement'!$A$10:$A$57,0),MATCH('Ratio Analysis'!B$2,'Income Statement'!$A$11:$F$11,0))/INDEX('Balance Sheet'!$A$10:$F$35,MATCH('Ratio Analysis'!$K$19,'Balance Sheet'!$A$10:$A$35,0),MATCH('Ratio Analysis'!B$2,'Balance Sheet'!$A$11:$F$11,0))</f>
        <v>-3.4722349265122882E-2</v>
      </c>
      <c r="C19" s="333">
        <f>INDEX('Income Statement'!$A$10:$F$57,MATCH('Ratio Analysis'!$J$19,'Income Statement'!$A$10:$A$57,0),MATCH('Ratio Analysis'!C$2,'Income Statement'!$A$11:$F$11,0))/INDEX('Balance Sheet'!$A$10:$F$35,MATCH('Ratio Analysis'!$K$19,'Balance Sheet'!$A$10:$A$35,0),MATCH('Ratio Analysis'!C$2,'Balance Sheet'!$A$11:$F$11,0))</f>
        <v>3.6413338643687315E-2</v>
      </c>
      <c r="D19" s="333">
        <f>INDEX('Income Statement'!$A$10:$F$57,MATCH('Ratio Analysis'!$J$19,'Income Statement'!$A$10:$A$57,0),MATCH('Ratio Analysis'!D$2,'Income Statement'!$A$11:$F$11,0))/INDEX('Balance Sheet'!$A$10:$F$35,MATCH('Ratio Analysis'!$K$19,'Balance Sheet'!$A$10:$A$35,0),MATCH('Ratio Analysis'!D$2,'Balance Sheet'!$A$11:$F$11,0))</f>
        <v>-6.7766339496603961E-3</v>
      </c>
      <c r="E19" s="333">
        <f>INDEX('Income Statement'!$A$10:$F$57,MATCH('Ratio Analysis'!$J$19,'Income Statement'!$A$10:$A$57,0),MATCH('Ratio Analysis'!E$2,'Income Statement'!$A$11:$F$11,0))/INDEX('Balance Sheet'!$A$10:$F$35,MATCH('Ratio Analysis'!$K$19,'Balance Sheet'!$A$10:$A$35,0),MATCH('Ratio Analysis'!E$2,'Balance Sheet'!$A$11:$F$11,0))</f>
        <v>3.5977114778711738E-2</v>
      </c>
      <c r="F19" s="333">
        <f>INDEX('Income Statement'!$A$10:$F$57,MATCH('Ratio Analysis'!$J$19,'Income Statement'!$A$10:$A$57,0),MATCH('Ratio Analysis'!F$2,'Income Statement'!$A$11:$F$11,0))/INDEX('Balance Sheet'!$A$10:$F$35,MATCH('Ratio Analysis'!$K$19,'Balance Sheet'!$A$10:$A$35,0),MATCH('Ratio Analysis'!F$2,'Balance Sheet'!$A$11:$F$11,0))</f>
        <v>4.306273331721934E-2</v>
      </c>
      <c r="G19" s="329">
        <f>AVERAGE(B38,B52,B66,B80)</f>
        <v>5.9713000000000002E-2</v>
      </c>
      <c r="I19" s="327" t="s">
        <v>260</v>
      </c>
      <c r="J19" s="7" t="s">
        <v>53</v>
      </c>
      <c r="K19" s="7" t="s">
        <v>167</v>
      </c>
    </row>
    <row r="20" spans="1:15" x14ac:dyDescent="0.2">
      <c r="A20" s="330" t="s">
        <v>258</v>
      </c>
      <c r="B20" s="205">
        <f>INDEX('Income Statement'!$A$10:$F$57,MATCH('Ratio Analysis'!$J$19,'Income Statement'!$A$10:$A$57,0),MATCH('Ratio Analysis'!B$2,'Income Statement'!$A$11:$F$11,0))/INDEX('Balance Sheet'!$A$10:$F$64,MATCH('Ratio Analysis'!$K$20,'Balance Sheet'!$A$10:$A$64,0),MATCH('Ratio Analysis'!B$2,'Balance Sheet'!$A$11:$F$11,0))</f>
        <v>-7.5190352816270914E-2</v>
      </c>
      <c r="C20" s="205">
        <f>INDEX('Income Statement'!$A$10:$F$57,MATCH('Ratio Analysis'!$J$19,'Income Statement'!$A$10:$A$57,0),MATCH('Ratio Analysis'!C$2,'Income Statement'!$A$11:$F$11,0))/INDEX('Balance Sheet'!$A$10:$F$64,MATCH('Ratio Analysis'!$K$20,'Balance Sheet'!$A$10:$A$64,0),MATCH('Ratio Analysis'!C$2,'Balance Sheet'!$A$11:$F$11,0))</f>
        <v>7.3601627622748661E-2</v>
      </c>
      <c r="D20" s="205">
        <f>INDEX('Income Statement'!$A$10:$F$57,MATCH('Ratio Analysis'!$J$19,'Income Statement'!$A$10:$A$57,0),MATCH('Ratio Analysis'!D$2,'Income Statement'!$A$11:$F$11,0))/INDEX('Balance Sheet'!$A$10:$F$64,MATCH('Ratio Analysis'!$K$20,'Balance Sheet'!$A$10:$A$64,0),MATCH('Ratio Analysis'!D$2,'Balance Sheet'!$A$11:$F$11,0))</f>
        <v>-1.3573154112983151E-2</v>
      </c>
      <c r="E20" s="205">
        <f>INDEX('Income Statement'!$A$10:$F$57,MATCH('Ratio Analysis'!$J$19,'Income Statement'!$A$10:$A$57,0),MATCH('Ratio Analysis'!E$2,'Income Statement'!$A$11:$F$11,0))/INDEX('Balance Sheet'!$A$10:$F$64,MATCH('Ratio Analysis'!$K$20,'Balance Sheet'!$A$10:$A$64,0),MATCH('Ratio Analysis'!E$2,'Balance Sheet'!$A$11:$F$11,0))</f>
        <v>7.0628428519326242E-2</v>
      </c>
      <c r="F20" s="205">
        <f>INDEX('Income Statement'!$A$10:$F$57,MATCH('Ratio Analysis'!$J$19,'Income Statement'!$A$10:$A$57,0),MATCH('Ratio Analysis'!F$2,'Income Statement'!$A$11:$F$11,0))/INDEX('Balance Sheet'!$A$10:$F$64,MATCH('Ratio Analysis'!$K$20,'Balance Sheet'!$A$10:$A$64,0),MATCH('Ratio Analysis'!F$2,'Balance Sheet'!$A$11:$F$11,0))</f>
        <v>8.3433065481278851E-2</v>
      </c>
      <c r="G20" s="199">
        <f>AVERAGE(B39,B53,B67,B81)</f>
        <v>9.5207E-2</v>
      </c>
      <c r="I20" s="330" t="s">
        <v>258</v>
      </c>
      <c r="J20" s="7" t="s">
        <v>53</v>
      </c>
      <c r="K20" s="7" t="s">
        <v>145</v>
      </c>
    </row>
    <row r="21" spans="1:15" ht="32" x14ac:dyDescent="0.2">
      <c r="A21" s="332" t="s">
        <v>196</v>
      </c>
      <c r="B21" s="202"/>
      <c r="C21" s="202"/>
      <c r="D21" s="202"/>
      <c r="E21" s="202"/>
      <c r="F21" s="202"/>
      <c r="G21" s="328"/>
      <c r="I21" s="332" t="s">
        <v>196</v>
      </c>
    </row>
    <row r="22" spans="1:15" x14ac:dyDescent="0.2">
      <c r="A22" s="330" t="s">
        <v>197</v>
      </c>
      <c r="B22" s="205">
        <f>'Income Statement'!B57/'Income Statement'!B13</f>
        <v>-9.8301222291278231E-2</v>
      </c>
      <c r="C22" s="205">
        <f>'Income Statement'!C57/'Income Statement'!C13</f>
        <v>9.7833594365594329E-2</v>
      </c>
      <c r="D22" s="205">
        <f>'Income Statement'!D57/'Income Statement'!D13</f>
        <v>-1.638164657508644E-2</v>
      </c>
      <c r="E22" s="205">
        <f>'Income Statement'!E57/'Income Statement'!E13</f>
        <v>8.1088009844386896E-2</v>
      </c>
      <c r="F22" s="205">
        <f>'Income Statement'!F57/'Income Statement'!F13</f>
        <v>9.6533929646512431E-2</v>
      </c>
      <c r="G22" s="331"/>
      <c r="I22" s="330" t="s">
        <v>197</v>
      </c>
      <c r="J22" s="7" t="s">
        <v>53</v>
      </c>
      <c r="K22" s="5" t="s">
        <v>87</v>
      </c>
    </row>
    <row r="23" spans="1:15" x14ac:dyDescent="0.2">
      <c r="A23" s="327" t="s">
        <v>198</v>
      </c>
      <c r="B23" s="195">
        <f>B10</f>
        <v>0.35322398293519108</v>
      </c>
      <c r="C23" s="195">
        <f>C10</f>
        <v>0.37219667620116587</v>
      </c>
      <c r="D23" s="195">
        <f>D10</f>
        <v>0.41367233254601193</v>
      </c>
      <c r="E23" s="195">
        <f>E10</f>
        <v>0.44367983438925351</v>
      </c>
      <c r="F23" s="195">
        <f>F10</f>
        <v>0.44608909504571387</v>
      </c>
      <c r="G23" s="328"/>
      <c r="I23" s="327" t="s">
        <v>198</v>
      </c>
    </row>
    <row r="24" spans="1:15" x14ac:dyDescent="0.2">
      <c r="A24" s="330" t="s">
        <v>199</v>
      </c>
      <c r="B24" s="206">
        <f>'Balance Sheet'!B35/'Balance Sheet'!B62</f>
        <v>2.1654742379945016</v>
      </c>
      <c r="C24" s="206">
        <f>'Balance Sheet'!C35/'Balance Sheet'!C62</f>
        <v>2.0212820456524763</v>
      </c>
      <c r="D24" s="206">
        <f>'Balance Sheet'!D35/'Balance Sheet'!D62</f>
        <v>2.0029345267591672</v>
      </c>
      <c r="E24" s="206">
        <f>'Balance Sheet'!E35/'Balance Sheet'!E62</f>
        <v>1.9631487670356007</v>
      </c>
      <c r="F24" s="206">
        <f>'Balance Sheet'!F35/'Balance Sheet'!F62</f>
        <v>1.9374772350531861</v>
      </c>
      <c r="G24" s="331"/>
      <c r="I24" s="330" t="s">
        <v>199</v>
      </c>
      <c r="J24" s="7" t="s">
        <v>167</v>
      </c>
      <c r="K24" s="7" t="s">
        <v>145</v>
      </c>
    </row>
    <row r="25" spans="1:15" x14ac:dyDescent="0.2">
      <c r="A25" s="327" t="s">
        <v>270</v>
      </c>
      <c r="B25" s="329">
        <f>B22*B23*B24</f>
        <v>-7.5190352816270928E-2</v>
      </c>
      <c r="C25" s="329">
        <f>C22*C23*C24</f>
        <v>7.3601627622748661E-2</v>
      </c>
      <c r="D25" s="329">
        <f>D22*D23*D24</f>
        <v>-1.3573154112983149E-2</v>
      </c>
      <c r="E25" s="329">
        <f>E22*E23*E24</f>
        <v>7.0628428519326242E-2</v>
      </c>
      <c r="F25" s="329">
        <f>F22*F23*F24</f>
        <v>8.3433065481278851E-2</v>
      </c>
      <c r="G25" s="328"/>
      <c r="I25" s="327" t="s">
        <v>270</v>
      </c>
    </row>
    <row r="26" spans="1:15" x14ac:dyDescent="0.2">
      <c r="A26" t="s">
        <v>485</v>
      </c>
    </row>
    <row r="27" spans="1:15" x14ac:dyDescent="0.2">
      <c r="A27" s="38"/>
      <c r="B27" s="38"/>
    </row>
    <row r="28" spans="1:15" x14ac:dyDescent="0.2">
      <c r="A28" s="39" t="s">
        <v>493</v>
      </c>
      <c r="B28" s="190" t="s">
        <v>489</v>
      </c>
    </row>
    <row r="29" spans="1:15" ht="48" x14ac:dyDescent="0.2">
      <c r="A29" t="s">
        <v>239</v>
      </c>
      <c r="B29" s="207">
        <f>INDEX('Heineken Ratios'!$A$12:$F$159,MATCH('Ratio Analysis'!$A29,'Heineken Ratios'!$A$12:$A$159,0),MATCH('Ratio Analysis'!$F$2,'Heineken Ratios'!$A$13:$F$13,0))</f>
        <v>0.765486</v>
      </c>
      <c r="M29" s="196" t="s">
        <v>200</v>
      </c>
      <c r="N29" s="197" t="s">
        <v>497</v>
      </c>
      <c r="O29" s="198" t="s">
        <v>269</v>
      </c>
    </row>
    <row r="30" spans="1:15" x14ac:dyDescent="0.2">
      <c r="A30" t="s">
        <v>238</v>
      </c>
      <c r="B30" s="207">
        <f>INDEX('Heineken Ratios'!$A$12:$F$159,MATCH('Ratio Analysis'!$A30,'Heineken Ratios'!$A$12:$A$159,0),MATCH('Ratio Analysis'!$F$2,'Heineken Ratios'!$A$13:$F$13,0))</f>
        <v>0.45940399999999998</v>
      </c>
      <c r="M30" t="s">
        <v>235</v>
      </c>
      <c r="N30" s="230">
        <v>37.448827111762711</v>
      </c>
      <c r="O30" s="230">
        <v>82.023469000000006</v>
      </c>
    </row>
    <row r="31" spans="1:15" x14ac:dyDescent="0.2">
      <c r="A31" s="40" t="s">
        <v>235</v>
      </c>
      <c r="B31" s="208">
        <f>INDEX('Heineken Ratios'!$A$12:$F$159,MATCH('Ratio Analysis'!$A31,'Heineken Ratios'!$A$12:$A$159,0),MATCH('Ratio Analysis'!$F$2,'Heineken Ratios'!$A$13:$F$13,0))</f>
        <v>70.357643999999993</v>
      </c>
      <c r="M31" t="s">
        <v>236</v>
      </c>
      <c r="N31" s="230">
        <v>17.253289756601017</v>
      </c>
      <c r="O31" s="230">
        <v>27.1709885</v>
      </c>
    </row>
    <row r="32" spans="1:15" x14ac:dyDescent="0.2">
      <c r="A32" t="s">
        <v>236</v>
      </c>
      <c r="B32" s="208">
        <f>INDEX('Heineken Ratios'!$A$12:$F$159,MATCH('Ratio Analysis'!$A32,'Heineken Ratios'!$A$12:$A$159,0),MATCH('Ratio Analysis'!$F$2,'Heineken Ratios'!$A$13:$F$13,0))</f>
        <v>39.893999999999998</v>
      </c>
    </row>
    <row r="33" spans="1:2" x14ac:dyDescent="0.2">
      <c r="A33" t="s">
        <v>244</v>
      </c>
      <c r="B33" s="207">
        <f>INDEX('Heineken Ratios'!$A$12:$F$159,MATCH('Ratio Analysis'!$A33,'Heineken Ratios'!$A$12:$A$159,0),MATCH('Ratio Analysis'!$F$2,'Heineken Ratios'!$A$13:$F$13,0))</f>
        <v>0.54754599999999998</v>
      </c>
    </row>
    <row r="34" spans="1:2" x14ac:dyDescent="0.2">
      <c r="A34" t="s">
        <v>266</v>
      </c>
      <c r="B34" s="209">
        <f>INDEX('Heineken Ratios'!$A$12:$F$159,MATCH('Ratio Analysis'!$A34,'Heineken Ratios'!$A$12:$A$159,0),MATCH('Ratio Analysis'!$F$2,'Heineken Ratios'!$A$13:$F$13,0))</f>
        <v>0.43215599999999998</v>
      </c>
    </row>
    <row r="35" spans="1:2" x14ac:dyDescent="0.2">
      <c r="A35" t="s">
        <v>267</v>
      </c>
      <c r="B35" s="207">
        <f>INDEX('Heineken Ratios'!$A$12:$F$159,MATCH('Ratio Analysis'!$A35,'Heineken Ratios'!$A$12:$A$159,0),MATCH('Ratio Analysis'!$F$2,'Heineken Ratios'!$A$13:$F$13,0))</f>
        <v>5.6602940000000004</v>
      </c>
    </row>
    <row r="36" spans="1:2" x14ac:dyDescent="0.2">
      <c r="A36" t="s">
        <v>255</v>
      </c>
      <c r="B36" s="209">
        <f>INDEX('Heineken Ratios'!$A$12:$F$159,MATCH('Ratio Analysis'!$A36,'Heineken Ratios'!$A$12:$A$159,0),MATCH('Ratio Analysis'!$F$2,'Heineken Ratios'!$A$13:$F$13,0))</f>
        <v>0.36390400000000001</v>
      </c>
    </row>
    <row r="37" spans="1:2" x14ac:dyDescent="0.2">
      <c r="A37" t="s">
        <v>251</v>
      </c>
      <c r="B37" s="209">
        <f>INDEX('Heineken Ratios'!$A$12:$F$159,MATCH('Ratio Analysis'!$A37,'Heineken Ratios'!$A$12:$A$159,0),MATCH('Ratio Analysis'!$F$2,'Heineken Ratios'!$A$13:$F$13,0))</f>
        <v>0.12906999999999999</v>
      </c>
    </row>
    <row r="38" spans="1:2" x14ac:dyDescent="0.2">
      <c r="A38" t="s">
        <v>260</v>
      </c>
      <c r="B38" s="209">
        <f>INDEX('Heineken Ratios'!$A$12:$F$159,MATCH('Ratio Analysis'!$A38,'Heineken Ratios'!$A$12:$A$159,0),MATCH('Ratio Analysis'!$F$2,'Heineken Ratios'!$A$13:$F$13,0))</f>
        <v>4.4169E-2</v>
      </c>
    </row>
    <row r="39" spans="1:2" x14ac:dyDescent="0.2">
      <c r="A39" t="s">
        <v>258</v>
      </c>
      <c r="B39" s="209">
        <f>INDEX('Heineken Ratios'!$A$12:$F$159,MATCH('Ratio Analysis'!$A39,'Heineken Ratios'!$A$12:$A$159,0),MATCH('Ratio Analysis'!$F$2,'Heineken Ratios'!$A$13:$F$13,0))</f>
        <v>5.1381000000000003E-2</v>
      </c>
    </row>
    <row r="41" spans="1:2" x14ac:dyDescent="0.2">
      <c r="A41" s="38"/>
      <c r="B41" s="38"/>
    </row>
    <row r="42" spans="1:2" x14ac:dyDescent="0.2">
      <c r="A42" s="39" t="s">
        <v>494</v>
      </c>
      <c r="B42" s="190" t="s">
        <v>489</v>
      </c>
    </row>
    <row r="43" spans="1:2" x14ac:dyDescent="0.2">
      <c r="A43" t="s">
        <v>239</v>
      </c>
      <c r="B43" s="207">
        <f>INDEX('Constellation Brands Ratios'!$A$12:$F$159,MATCH('Ratio Analysis'!$A43,'Constellation Brands Ratios'!$A$12:$A$159,0),MATCH('Ratio Analysis'!$F$2,'Constellation Brands Ratios'!$A$13:$F$13,0))</f>
        <v>1.1870959999999999</v>
      </c>
    </row>
    <row r="44" spans="1:2" x14ac:dyDescent="0.2">
      <c r="A44" t="s">
        <v>238</v>
      </c>
      <c r="B44" s="207">
        <f>INDEX('Constellation Brands Ratios'!$A$12:$F$159,MATCH('Ratio Analysis'!$A44,'Constellation Brands Ratios'!$A$12:$A$159,0),MATCH('Ratio Analysis'!$F$2,'Constellation Brands Ratios'!$A$13:$F$13,0))</f>
        <v>0.39243</v>
      </c>
    </row>
    <row r="45" spans="1:2" x14ac:dyDescent="0.2">
      <c r="A45" s="40" t="s">
        <v>235</v>
      </c>
      <c r="B45" s="208">
        <f>INDEX('Constellation Brands Ratios'!$A$12:$F$159,MATCH('Ratio Analysis'!$A45,'Constellation Brands Ratios'!$A$12:$A$159,0),MATCH('Ratio Analysis'!$F$2,'Constellation Brands Ratios'!$A$13:$F$13,0))</f>
        <v>147.30511799999999</v>
      </c>
    </row>
    <row r="46" spans="1:2" x14ac:dyDescent="0.2">
      <c r="A46" t="s">
        <v>236</v>
      </c>
      <c r="B46" s="208">
        <f>INDEX('Constellation Brands Ratios'!$A$12:$F$159,MATCH('Ratio Analysis'!$A46,'Constellation Brands Ratios'!$A$12:$A$159,0),MATCH('Ratio Analysis'!$F$2,'Constellation Brands Ratios'!$A$13:$F$13,0))</f>
        <v>31.861032000000002</v>
      </c>
    </row>
    <row r="47" spans="1:2" x14ac:dyDescent="0.2">
      <c r="A47" t="s">
        <v>244</v>
      </c>
      <c r="B47" s="207">
        <f>INDEX('Constellation Brands Ratios'!$A$12:$F$159,MATCH('Ratio Analysis'!$A47,'Constellation Brands Ratios'!$A$12:$A$159,0),MATCH('Ratio Analysis'!$F$2,'Constellation Brands Ratios'!$A$13:$F$13,0))</f>
        <v>0.39567000000000002</v>
      </c>
    </row>
    <row r="48" spans="1:2" x14ac:dyDescent="0.2">
      <c r="A48" t="s">
        <v>266</v>
      </c>
      <c r="B48" s="209">
        <f>INDEX('Constellation Brands Ratios'!$A$12:$F$159,MATCH('Ratio Analysis'!$A48,'Constellation Brands Ratios'!$A$12:$A$159,0),MATCH('Ratio Analysis'!$F$2,'Constellation Brands Ratios'!$A$13:$F$13,0))</f>
        <v>0.55510000000000004</v>
      </c>
    </row>
    <row r="49" spans="1:3" x14ac:dyDescent="0.2">
      <c r="A49" t="s">
        <v>267</v>
      </c>
      <c r="B49" s="207">
        <f>INDEX('Constellation Brands Ratios'!$A$12:$F$159,MATCH('Ratio Analysis'!$A49,'Constellation Brands Ratios'!$A$12:$A$159,0),MATCH('Ratio Analysis'!$F$2,'Constellation Brands Ratios'!$A$13:$F$13,0))</f>
        <v>7.310937</v>
      </c>
    </row>
    <row r="50" spans="1:3" x14ac:dyDescent="0.2">
      <c r="A50" t="s">
        <v>255</v>
      </c>
      <c r="B50" s="209">
        <f>INDEX('Constellation Brands Ratios'!$A$12:$F$159,MATCH('Ratio Analysis'!$A50,'Constellation Brands Ratios'!$A$12:$A$159,0),MATCH('Ratio Analysis'!$F$2,'Constellation Brands Ratios'!$A$13:$F$13,0))</f>
        <v>0.50403500000000001</v>
      </c>
    </row>
    <row r="51" spans="1:3" x14ac:dyDescent="0.2">
      <c r="A51" t="s">
        <v>251</v>
      </c>
      <c r="B51" s="209">
        <f>INDEX('Constellation Brands Ratios'!$A$12:$F$159,MATCH('Ratio Analysis'!$A51,'Constellation Brands Ratios'!$A$12:$A$159,0),MATCH('Ratio Analysis'!$F$2,'Constellation Brands Ratios'!$A$13:$F$13,0))</f>
        <v>0.320052</v>
      </c>
    </row>
    <row r="52" spans="1:3" x14ac:dyDescent="0.2">
      <c r="A52" t="s">
        <v>260</v>
      </c>
      <c r="B52" s="209">
        <f>INDEX('Constellation Brands Ratios'!$A$12:$F$159,MATCH('Ratio Analysis'!$A52,'Constellation Brands Ratios'!$A$12:$A$159,0),MATCH('Ratio Analysis'!$F$2,'Constellation Brands Ratios'!$A$13:$F$13,0))</f>
        <v>7.9146999999999995E-2</v>
      </c>
    </row>
    <row r="53" spans="1:3" x14ac:dyDescent="0.2">
      <c r="A53" t="s">
        <v>258</v>
      </c>
      <c r="B53" s="209">
        <f>INDEX('Constellation Brands Ratios'!$A$12:$F$159,MATCH('Ratio Analysis'!$A53,'Constellation Brands Ratios'!$A$12:$A$159,0),MATCH('Ratio Analysis'!$F$2,'Constellation Brands Ratios'!$A$13:$F$13,0))</f>
        <v>0.187802</v>
      </c>
    </row>
    <row r="54" spans="1:3" x14ac:dyDescent="0.2">
      <c r="B54" s="210"/>
    </row>
    <row r="55" spans="1:3" x14ac:dyDescent="0.2">
      <c r="A55" s="38"/>
      <c r="B55" s="38"/>
    </row>
    <row r="56" spans="1:3" x14ac:dyDescent="0.2">
      <c r="A56" s="39" t="s">
        <v>495</v>
      </c>
      <c r="B56" s="190" t="s">
        <v>489</v>
      </c>
    </row>
    <row r="57" spans="1:3" x14ac:dyDescent="0.2">
      <c r="A57" t="s">
        <v>239</v>
      </c>
      <c r="B57" s="207">
        <f>INDEX('Boston Beer Ratios'!$A$12:$F$159,MATCH('Ratio Analysis'!$A57,'Boston Beer Ratios'!$A$12:$A$159,0),MATCH('Ratio Analysis'!$F$2,'Boston Beer Ratios'!$A$13:$F$13,0))</f>
        <v>1.8015490000000001</v>
      </c>
    </row>
    <row r="58" spans="1:3" x14ac:dyDescent="0.2">
      <c r="A58" t="s">
        <v>238</v>
      </c>
      <c r="B58" s="207">
        <f>INDEX('Boston Beer Ratios'!$A$12:$F$159,MATCH('Ratio Analysis'!$A58,'Boston Beer Ratios'!$A$12:$A$159,0),MATCH('Ratio Analysis'!$F$2,'Boston Beer Ratios'!$A$13:$F$13,0))</f>
        <v>1.2084969999999999</v>
      </c>
    </row>
    <row r="59" spans="1:3" x14ac:dyDescent="0.2">
      <c r="A59" s="40" t="s">
        <v>235</v>
      </c>
      <c r="B59" s="208">
        <f>INDEX('Boston Beer Ratios'!$A$12:$F$159,MATCH('Ratio Analysis'!$A59,'Boston Beer Ratios'!$A$12:$A$159,0),MATCH('Ratio Analysis'!$F$2,'Boston Beer Ratios'!$A$13:$F$13,0))</f>
        <v>37.878568000000001</v>
      </c>
    </row>
    <row r="60" spans="1:3" x14ac:dyDescent="0.2">
      <c r="A60" t="s">
        <v>236</v>
      </c>
      <c r="B60" s="208">
        <f>INDEX('Boston Beer Ratios'!$A$12:$F$159,MATCH('Ratio Analysis'!$A60,'Boston Beer Ratios'!$A$12:$A$159,0),MATCH('Ratio Analysis'!$F$2,'Boston Beer Ratios'!$A$13:$F$13,0))</f>
        <v>11.610872000000001</v>
      </c>
    </row>
    <row r="61" spans="1:3" x14ac:dyDescent="0.2">
      <c r="A61" t="s">
        <v>244</v>
      </c>
      <c r="B61" s="207">
        <f>INDEX('Boston Beer Ratios'!$A$12:$F$159,MATCH('Ratio Analysis'!$A61,'Boston Beer Ratios'!$A$12:$A$159,0),MATCH('Ratio Analysis'!$F$2,'Boston Beer Ratios'!$A$13:$F$13,0))</f>
        <v>1.5021770000000001</v>
      </c>
    </row>
    <row r="62" spans="1:3" x14ac:dyDescent="0.2">
      <c r="A62" t="s">
        <v>266</v>
      </c>
      <c r="B62" s="209">
        <f>INDEX('Boston Beer Ratios'!$A$12:$F$159,MATCH('Ratio Analysis'!$A62,'Boston Beer Ratios'!$A$12:$A$159,0),MATCH('Ratio Analysis'!$F$2,'Boston Beer Ratios'!$A$13:$F$13,0))</f>
        <v>4.0607999999999998E-2</v>
      </c>
    </row>
    <row r="63" spans="1:3" x14ac:dyDescent="0.2">
      <c r="A63" t="s">
        <v>267</v>
      </c>
      <c r="B63" t="str">
        <f>INDEX('Boston Beer Ratios'!$A$12:$F$159,MATCH('Ratio Analysis'!$A63,'Boston Beer Ratios'!$A$12:$A$159,0),MATCH('Ratio Analysis'!$F$2,'Boston Beer Ratios'!$A$13:$F$13,0))</f>
        <v>NA</v>
      </c>
      <c r="C63" t="s">
        <v>488</v>
      </c>
    </row>
    <row r="64" spans="1:3" x14ac:dyDescent="0.2">
      <c r="A64" t="s">
        <v>255</v>
      </c>
      <c r="B64" s="209">
        <f>INDEX('Boston Beer Ratios'!$A$12:$F$159,MATCH('Ratio Analysis'!$A64,'Boston Beer Ratios'!$A$12:$A$159,0),MATCH('Ratio Analysis'!$F$2,'Boston Beer Ratios'!$A$13:$F$13,0))</f>
        <v>0.443996</v>
      </c>
    </row>
    <row r="65" spans="1:2" x14ac:dyDescent="0.2">
      <c r="A65" t="s">
        <v>251</v>
      </c>
      <c r="B65" s="209">
        <f>INDEX('Boston Beer Ratios'!$A$12:$F$159,MATCH('Ratio Analysis'!$A65,'Boston Beer Ratios'!$A$12:$A$159,0),MATCH('Ratio Analysis'!$F$2,'Boston Beer Ratios'!$A$13:$F$13,0))</f>
        <v>7.5409000000000004E-2</v>
      </c>
    </row>
    <row r="66" spans="1:2" x14ac:dyDescent="0.2">
      <c r="A66" t="s">
        <v>260</v>
      </c>
      <c r="B66" s="209">
        <f>INDEX('Boston Beer Ratios'!$A$12:$F$159,MATCH('Ratio Analysis'!$A66,'Boston Beer Ratios'!$A$12:$A$159,0),MATCH('Ratio Analysis'!$F$2,'Boston Beer Ratios'!$A$13:$F$13,0))</f>
        <v>7.0798E-2</v>
      </c>
    </row>
    <row r="67" spans="1:2" x14ac:dyDescent="0.2">
      <c r="A67" t="s">
        <v>258</v>
      </c>
      <c r="B67" s="209">
        <f>INDEX('Boston Beer Ratios'!$A$12:$F$159,MATCH('Ratio Analysis'!$A67,'Boston Beer Ratios'!$A$12:$A$159,0),MATCH('Ratio Analysis'!$F$2,'Boston Beer Ratios'!$A$13:$F$13,0))</f>
        <v>5.9871000000000001E-2</v>
      </c>
    </row>
    <row r="69" spans="1:2" x14ac:dyDescent="0.2">
      <c r="A69" s="38"/>
      <c r="B69" s="38"/>
    </row>
    <row r="70" spans="1:2" x14ac:dyDescent="0.2">
      <c r="A70" s="39" t="s">
        <v>496</v>
      </c>
      <c r="B70" s="190" t="s">
        <v>489</v>
      </c>
    </row>
    <row r="71" spans="1:2" x14ac:dyDescent="0.2">
      <c r="A71" t="s">
        <v>239</v>
      </c>
      <c r="B71" s="207">
        <f>INDEX('Busch Ratios'!$A$12:$F$159,MATCH('Ratio Analysis'!$A71,'Busch Ratios'!$A$12:$A$159,0),MATCH('Ratio Analysis'!$F$2,'Busch Ratios'!$A$13:$F$13,0))</f>
        <v>0.69554800000000006</v>
      </c>
    </row>
    <row r="72" spans="1:2" x14ac:dyDescent="0.2">
      <c r="A72" t="s">
        <v>238</v>
      </c>
      <c r="B72" s="207">
        <f>INDEX('Busch Ratios'!$A$12:$F$159,MATCH('Ratio Analysis'!$A72,'Busch Ratios'!$A$12:$A$159,0),MATCH('Ratio Analysis'!$F$2,'Busch Ratios'!$A$13:$F$13,0))</f>
        <v>0.51106799999999997</v>
      </c>
    </row>
    <row r="73" spans="1:2" x14ac:dyDescent="0.2">
      <c r="A73" s="40" t="s">
        <v>235</v>
      </c>
      <c r="B73" s="208">
        <f>INDEX('Busch Ratios'!$A$12:$F$159,MATCH('Ratio Analysis'!$A73,'Busch Ratios'!$A$12:$A$159,0),MATCH('Ratio Analysis'!$F$2,'Busch Ratios'!$A$13:$F$13,0))</f>
        <v>72.552546000000007</v>
      </c>
    </row>
    <row r="74" spans="1:2" x14ac:dyDescent="0.2">
      <c r="A74" t="s">
        <v>236</v>
      </c>
      <c r="B74" s="208">
        <f>INDEX('Busch Ratios'!$A$12:$F$159,MATCH('Ratio Analysis'!$A74,'Busch Ratios'!$A$12:$A$159,0),MATCH('Ratio Analysis'!$F$2,'Busch Ratios'!$A$13:$F$13,0))</f>
        <v>25.318049999999999</v>
      </c>
    </row>
    <row r="75" spans="1:2" x14ac:dyDescent="0.2">
      <c r="A75" t="s">
        <v>244</v>
      </c>
      <c r="B75" s="207">
        <f>INDEX('Busch Ratios'!$A$12:$F$159,MATCH('Ratio Analysis'!$A75,'Busch Ratios'!$A$12:$A$159,0),MATCH('Ratio Analysis'!$F$2,'Busch Ratios'!$A$13:$F$13,0))</f>
        <v>0.28061599999999998</v>
      </c>
    </row>
    <row r="76" spans="1:2" x14ac:dyDescent="0.2">
      <c r="A76" t="s">
        <v>266</v>
      </c>
      <c r="B76" s="209">
        <f>INDEX('Busch Ratios'!$A$12:$F$159,MATCH('Ratio Analysis'!$A76,'Busch Ratios'!$A$12:$A$159,0),MATCH('Ratio Analysis'!$F$2,'Busch Ratios'!$A$13:$F$13,0))</f>
        <v>0.449129</v>
      </c>
    </row>
    <row r="77" spans="1:2" x14ac:dyDescent="0.2">
      <c r="A77" t="s">
        <v>486</v>
      </c>
      <c r="B77" s="207">
        <f>INDEX('Busch Ratios'!$A$12:$F$159,MATCH('Ratio Analysis'!$A77,'Busch Ratios'!$A$12:$A$159,0),MATCH('Ratio Analysis'!$F$2,'Busch Ratios'!$A$13:$F$13,0))</f>
        <v>4.1976870000000002</v>
      </c>
    </row>
    <row r="78" spans="1:2" x14ac:dyDescent="0.2">
      <c r="A78" t="s">
        <v>255</v>
      </c>
      <c r="B78" s="209">
        <f>INDEX('Busch Ratios'!$A$12:$F$159,MATCH('Ratio Analysis'!$A78,'Busch Ratios'!$A$12:$A$159,0),MATCH('Ratio Analysis'!$F$2,'Busch Ratios'!$A$13:$F$13,0))</f>
        <v>0.55253600000000003</v>
      </c>
    </row>
    <row r="79" spans="1:2" x14ac:dyDescent="0.2">
      <c r="A79" t="s">
        <v>251</v>
      </c>
      <c r="B79" s="209">
        <f>INDEX('Busch Ratios'!$A$12:$F$159,MATCH('Ratio Analysis'!$A79,'Busch Ratios'!$A$12:$A$159,0),MATCH('Ratio Analysis'!$F$2,'Busch Ratios'!$A$13:$F$13,0))</f>
        <v>0.25508599999999998</v>
      </c>
    </row>
    <row r="80" spans="1:2" x14ac:dyDescent="0.2">
      <c r="A80" t="s">
        <v>260</v>
      </c>
      <c r="B80" s="209">
        <f>INDEX('Busch Ratios'!$A$12:$F$159,MATCH('Ratio Analysis'!$A80,'Busch Ratios'!$A$12:$A$159,0),MATCH('Ratio Analysis'!$F$2,'Busch Ratios'!$A$13:$F$13,0))</f>
        <v>4.4738E-2</v>
      </c>
    </row>
    <row r="81" spans="1:2" x14ac:dyDescent="0.2">
      <c r="A81" t="s">
        <v>258</v>
      </c>
      <c r="B81" s="209">
        <f>INDEX('Busch Ratios'!$A$12:$F$159,MATCH('Ratio Analysis'!$A81,'Busch Ratios'!$A$12:$A$159,0),MATCH('Ratio Analysis'!$F$2,'Busch Ratios'!$A$13:$F$13,0))</f>
        <v>8.1773999999999999E-2</v>
      </c>
    </row>
  </sheetData>
  <pageMargins left="0.7" right="0.7" top="0.75" bottom="0.75" header="0.3" footer="0.3"/>
  <pageSetup orientation="portrait" r:id="rId1"/>
  <drawing r:id="rId2"/>
  <tableParts count="4">
    <tablePart r:id="rId3"/>
    <tablePart r:id="rId4"/>
    <tablePart r:id="rId5"/>
    <tablePart r:id="rId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EA252-4838-471C-AEAC-C32D0ABDD5F8}">
  <sheetPr codeName="Sheet111"/>
  <dimension ref="A2:Z171"/>
  <sheetViews>
    <sheetView showGridLines="0" topLeftCell="A145" zoomScale="125" zoomScaleNormal="85" workbookViewId="0">
      <selection activeCell="S45" sqref="S45"/>
    </sheetView>
  </sheetViews>
  <sheetFormatPr baseColWidth="10" defaultColWidth="7.83203125" defaultRowHeight="14" outlineLevelRow="1" x14ac:dyDescent="0.15"/>
  <cols>
    <col min="1" max="1" width="3.1640625" style="41" customWidth="1"/>
    <col min="2" max="2" width="26" style="41" customWidth="1"/>
    <col min="3" max="3" width="14" style="41" customWidth="1"/>
    <col min="4" max="4" width="9.33203125" style="41" customWidth="1"/>
    <col min="5" max="5" width="10" style="41" bestFit="1" customWidth="1"/>
    <col min="6" max="6" width="15.1640625" style="41" customWidth="1"/>
    <col min="7" max="7" width="11.33203125" style="41" bestFit="1" customWidth="1"/>
    <col min="8" max="8" width="11.6640625" style="41" bestFit="1" customWidth="1"/>
    <col min="9" max="10" width="11.33203125" style="41" bestFit="1" customWidth="1"/>
    <col min="11" max="12" width="10.6640625" style="41" customWidth="1"/>
    <col min="13" max="13" width="11.83203125" style="41" customWidth="1"/>
    <col min="14" max="14" width="10.83203125" style="41" customWidth="1"/>
    <col min="15" max="15" width="11" style="41" customWidth="1"/>
    <col min="16" max="17" width="7.83203125" style="41"/>
    <col min="18" max="18" width="8.5" style="41" bestFit="1" customWidth="1"/>
    <col min="19" max="19" width="9.6640625" style="41" customWidth="1"/>
    <col min="20" max="16384" width="7.83203125" style="41"/>
  </cols>
  <sheetData>
    <row r="2" spans="1:15" x14ac:dyDescent="0.15">
      <c r="B2" s="103" t="s">
        <v>355</v>
      </c>
      <c r="C2" s="102" t="s">
        <v>356</v>
      </c>
    </row>
    <row r="3" spans="1:15" x14ac:dyDescent="0.15">
      <c r="B3" s="76" t="s">
        <v>279</v>
      </c>
      <c r="C3" s="101" t="s">
        <v>357</v>
      </c>
    </row>
    <row r="4" spans="1:15" x14ac:dyDescent="0.15">
      <c r="B4" s="76" t="s">
        <v>354</v>
      </c>
      <c r="C4" s="101">
        <v>44.26</v>
      </c>
    </row>
    <row r="5" spans="1:15" x14ac:dyDescent="0.15">
      <c r="B5" s="75" t="s">
        <v>353</v>
      </c>
      <c r="C5" s="100">
        <v>45932</v>
      </c>
    </row>
    <row r="7" spans="1:15" x14ac:dyDescent="0.15">
      <c r="B7" s="70" t="str">
        <f>C2&amp;" ("&amp;C3&amp;") DISCOUNTED CASH FLOWS MODEL"</f>
        <v>Molson Coors (TAP) DISCOUNTED CASH FLOWS MODEL</v>
      </c>
    </row>
    <row r="8" spans="1:15" x14ac:dyDescent="0.15">
      <c r="B8" s="99" t="s">
        <v>427</v>
      </c>
      <c r="D8" s="99"/>
      <c r="E8" s="99"/>
    </row>
    <row r="9" spans="1:15" x14ac:dyDescent="0.15">
      <c r="B9" s="99"/>
      <c r="D9" s="99"/>
      <c r="E9" s="99"/>
    </row>
    <row r="10" spans="1:15" x14ac:dyDescent="0.15">
      <c r="A10" s="41" t="s">
        <v>272</v>
      </c>
      <c r="B10" s="53" t="s">
        <v>352</v>
      </c>
      <c r="C10" s="52"/>
      <c r="D10" s="53"/>
      <c r="E10" s="53"/>
      <c r="F10" s="52"/>
      <c r="G10" s="52"/>
      <c r="H10" s="52"/>
      <c r="I10" s="52"/>
      <c r="J10" s="52"/>
      <c r="K10" s="52"/>
      <c r="L10" s="52"/>
      <c r="M10" s="52"/>
      <c r="N10" s="52"/>
      <c r="O10" s="52"/>
    </row>
    <row r="11" spans="1:15" outlineLevel="1" x14ac:dyDescent="0.15">
      <c r="C11" s="99"/>
      <c r="D11" s="99"/>
      <c r="E11" s="99"/>
    </row>
    <row r="12" spans="1:15" outlineLevel="1" x14ac:dyDescent="0.15">
      <c r="B12" s="99"/>
      <c r="C12" s="99"/>
      <c r="D12" s="99"/>
      <c r="E12" s="99"/>
      <c r="F12" s="86" t="s">
        <v>105</v>
      </c>
      <c r="G12" s="85"/>
      <c r="H12" s="85"/>
      <c r="I12" s="85"/>
      <c r="J12" s="84"/>
      <c r="K12" s="86" t="s">
        <v>317</v>
      </c>
      <c r="L12" s="85"/>
      <c r="M12" s="85"/>
      <c r="N12" s="85"/>
      <c r="O12" s="84"/>
    </row>
    <row r="13" spans="1:15" outlineLevel="1" x14ac:dyDescent="0.15">
      <c r="B13" s="99"/>
      <c r="C13" s="99"/>
      <c r="D13" s="99"/>
      <c r="E13" s="99"/>
      <c r="F13" s="98">
        <v>2020</v>
      </c>
      <c r="G13" s="97">
        <f t="shared" ref="G13:O13" si="0">F13+1</f>
        <v>2021</v>
      </c>
      <c r="H13" s="97">
        <f t="shared" si="0"/>
        <v>2022</v>
      </c>
      <c r="I13" s="97">
        <f t="shared" si="0"/>
        <v>2023</v>
      </c>
      <c r="J13" s="96">
        <f t="shared" si="0"/>
        <v>2024</v>
      </c>
      <c r="K13" s="95">
        <f t="shared" si="0"/>
        <v>2025</v>
      </c>
      <c r="L13" s="95">
        <f t="shared" si="0"/>
        <v>2026</v>
      </c>
      <c r="M13" s="95">
        <f t="shared" si="0"/>
        <v>2027</v>
      </c>
      <c r="N13" s="95">
        <f t="shared" si="0"/>
        <v>2028</v>
      </c>
      <c r="O13" s="95">
        <f t="shared" si="0"/>
        <v>2029</v>
      </c>
    </row>
    <row r="14" spans="1:15" outlineLevel="1" x14ac:dyDescent="0.15">
      <c r="B14" s="104" t="s">
        <v>87</v>
      </c>
      <c r="F14" s="112">
        <f>INDEX('Income Statement'!$A$10:$F$113,MATCH(TAP_DCF!$B14,'Income Statement'!$A$10:$A$113,0),MATCH(TAP_DCF!F$13,'Income Statement'!$A$11:$F$11))</f>
        <v>9654</v>
      </c>
      <c r="G14" s="112">
        <f>INDEX('Income Statement'!$A$10:$F$111,MATCH(TAP_DCF!$B14,'Income Statement'!$A$10:$A$111,0),MATCH(TAP_DCF!G$13,'Income Statement'!$A$11:$F$11))</f>
        <v>10279.700000000001</v>
      </c>
      <c r="H14" s="112">
        <f>INDEX('Income Statement'!$A$10:$F$111,MATCH(TAP_DCF!$B14,'Income Statement'!$A$10:$A$111,0),MATCH(TAP_DCF!H$13,'Income Statement'!$A$11:$F$11))</f>
        <v>10701</v>
      </c>
      <c r="I14" s="112">
        <f>INDEX('Income Statement'!$A$10:$F$111,MATCH(TAP_DCF!$B14,'Income Statement'!$A$10:$A$111,0),MATCH(TAP_DCF!I$13,'Income Statement'!$A$11:$F$11))</f>
        <v>11702.1</v>
      </c>
      <c r="J14" s="113">
        <f>INDEX('Income Statement'!$A$10:$F$111,MATCH(TAP_DCF!$B14,'Income Statement'!$A$10:$A$111,0),MATCH(TAP_DCF!J$13,'Income Statement'!$A$11:$F$11))</f>
        <v>11627</v>
      </c>
      <c r="K14" s="129">
        <f>J14*(1+K32)</f>
        <v>11603.745999999999</v>
      </c>
      <c r="L14" s="129">
        <f>K14*(1+L32)</f>
        <v>11615.349745999998</v>
      </c>
      <c r="M14" s="129">
        <f>L14*(1+M32)</f>
        <v>11661.811144983998</v>
      </c>
      <c r="N14" s="129">
        <f>M14*(1+N32)</f>
        <v>11743.443822998885</v>
      </c>
      <c r="O14" s="129">
        <f>N14*(1+O32)</f>
        <v>11860.878261228874</v>
      </c>
    </row>
    <row r="15" spans="1:15" outlineLevel="1" x14ac:dyDescent="0.15">
      <c r="B15" s="104" t="s">
        <v>84</v>
      </c>
      <c r="F15" s="127">
        <f>INDEX('Income Statement'!$A$10:$F$111,MATCH(TAP_DCF!$B15,'Income Statement'!$A$10:$A$111,0),MATCH(TAP_DCF!F$13,'Income Statement'!$A$11:$F$11))</f>
        <v>5858.1</v>
      </c>
      <c r="G15" s="127">
        <f>INDEX('Income Statement'!$A$10:$F$111,MATCH(TAP_DCF!$B15,'Income Statement'!$A$10:$A$111,0),MATCH(TAP_DCF!G$13,'Income Statement'!$A$11:$F$11))</f>
        <v>6226.3</v>
      </c>
      <c r="H15" s="127">
        <f>INDEX('Income Statement'!$A$10:$F$111,MATCH(TAP_DCF!$B15,'Income Statement'!$A$10:$A$111,0),MATCH(TAP_DCF!H$13,'Income Statement'!$A$11:$F$11))</f>
        <v>7045.8</v>
      </c>
      <c r="I15" s="127">
        <f>INDEX('Income Statement'!$A$10:$F$111,MATCH(TAP_DCF!$B15,'Income Statement'!$A$10:$A$111,0),MATCH(TAP_DCF!I$13,'Income Statement'!$A$11:$F$11))</f>
        <v>7333.3</v>
      </c>
      <c r="J15" s="128">
        <f>INDEX('Income Statement'!$A$10:$F$111,MATCH(TAP_DCF!$B15,'Income Statement'!$A$10:$A$111,0),MATCH(TAP_DCF!J$13,'Income Statement'!$A$11:$F$11))</f>
        <v>7093.6</v>
      </c>
      <c r="K15" s="130">
        <f>K14*K33</f>
        <v>7194.3225199999997</v>
      </c>
      <c r="L15" s="130">
        <f>L14*L33</f>
        <v>7186.9976553374991</v>
      </c>
      <c r="M15" s="130">
        <f>M14*M33</f>
        <v>7201.1683820276194</v>
      </c>
      <c r="N15" s="130">
        <f>N14*N33</f>
        <v>7236.8972559230633</v>
      </c>
      <c r="O15" s="130">
        <f>O14*O33</f>
        <v>7294.4401306557593</v>
      </c>
    </row>
    <row r="16" spans="1:15" outlineLevel="1" x14ac:dyDescent="0.15">
      <c r="B16" s="110" t="s">
        <v>351</v>
      </c>
      <c r="C16" s="109"/>
      <c r="D16" s="109"/>
      <c r="E16" s="109"/>
      <c r="F16" s="115">
        <f>F14-F15</f>
        <v>3795.8999999999996</v>
      </c>
      <c r="G16" s="115">
        <f t="shared" ref="G16:O16" si="1">G14-G15</f>
        <v>4053.4000000000005</v>
      </c>
      <c r="H16" s="115">
        <f t="shared" si="1"/>
        <v>3655.2</v>
      </c>
      <c r="I16" s="115">
        <f t="shared" si="1"/>
        <v>4368.8</v>
      </c>
      <c r="J16" s="116">
        <f t="shared" si="1"/>
        <v>4533.3999999999996</v>
      </c>
      <c r="K16" s="146">
        <f t="shared" si="1"/>
        <v>4409.4234799999995</v>
      </c>
      <c r="L16" s="146">
        <f t="shared" si="1"/>
        <v>4428.352090662499</v>
      </c>
      <c r="M16" s="146">
        <f t="shared" si="1"/>
        <v>4460.6427629563786</v>
      </c>
      <c r="N16" s="146">
        <f t="shared" si="1"/>
        <v>4506.5465670758213</v>
      </c>
      <c r="O16" s="146">
        <f t="shared" si="1"/>
        <v>4566.4381305731149</v>
      </c>
    </row>
    <row r="17" spans="2:26" outlineLevel="1" x14ac:dyDescent="0.15">
      <c r="B17" s="104" t="s">
        <v>82</v>
      </c>
      <c r="F17" s="183">
        <f>INDEX('Income Statement'!$A$10:$F$111,MATCH(TAP_DCF!$B17,'Income Statement'!$A$10:$A$111,0),MATCH(TAP_DCF!F$13,'Income Statement'!$A$11:$F$11))</f>
        <v>2186.6999999999998</v>
      </c>
      <c r="G17" s="183">
        <f>INDEX('Income Statement'!$A$10:$F$111,MATCH(TAP_DCF!$B17,'Income Statement'!$A$10:$A$111,0),MATCH(TAP_DCF!G$13,'Income Statement'!$A$11:$F$11))</f>
        <v>2290.1</v>
      </c>
      <c r="H17" s="183">
        <f>INDEX('Income Statement'!$A$10:$F$111,MATCH(TAP_DCF!$B17,'Income Statement'!$A$10:$A$111,0),MATCH(TAP_DCF!H$13,'Income Statement'!$A$11:$F$11))</f>
        <v>2318.1</v>
      </c>
      <c r="I17" s="183">
        <f>INDEX('Income Statement'!$A$10:$F$111,MATCH(TAP_DCF!$B17,'Income Statement'!$A$10:$A$111,0),MATCH(TAP_DCF!I$13,'Income Statement'!$A$11:$F$11))</f>
        <v>2562.4</v>
      </c>
      <c r="J17" s="184">
        <f>INDEX('Income Statement'!$A$10:$F$111,MATCH(TAP_DCF!$B17,'Income Statement'!$A$10:$A$111,0),MATCH(TAP_DCF!J$13,'Income Statement'!$A$11:$F$11))</f>
        <v>2516.1</v>
      </c>
      <c r="K17" s="130">
        <f>K14*K34</f>
        <v>2518.012882</v>
      </c>
      <c r="L17" s="130">
        <f>L14*L34</f>
        <v>2523.4347323184998</v>
      </c>
      <c r="M17" s="130">
        <f>M14*M34</f>
        <v>2536.4439240340193</v>
      </c>
      <c r="N17" s="130">
        <f>N14*N34</f>
        <v>2557.134892458007</v>
      </c>
      <c r="O17" s="130">
        <f>O14*O34</f>
        <v>2585.6714609478945</v>
      </c>
    </row>
    <row r="18" spans="2:26" outlineLevel="1" x14ac:dyDescent="0.15">
      <c r="B18" s="104" t="s">
        <v>79</v>
      </c>
      <c r="F18" s="140">
        <f>INDEX('Income Statement'!$A$10:$F$111,MATCH(TAP_DCF!$B18,'Income Statement'!$A$10:$A$111,0),MATCH(TAP_DCF!F$13,'Income Statement'!$A$11:$F$11))</f>
        <v>220</v>
      </c>
      <c r="G18" s="140">
        <f>INDEX('Income Statement'!$A$10:$F$111,MATCH(TAP_DCF!$B18,'Income Statement'!$A$10:$A$111,0),MATCH(TAP_DCF!G$13,'Income Statement'!$A$11:$F$11))</f>
        <v>218</v>
      </c>
      <c r="H18" s="140">
        <f>INDEX('Income Statement'!$A$10:$F$111,MATCH(TAP_DCF!$B18,'Income Statement'!$A$10:$A$111,0),MATCH(TAP_DCF!H$13,'Income Statement'!$A$11:$F$11))</f>
        <v>208.1</v>
      </c>
      <c r="I18" s="140">
        <f>INDEX('Income Statement'!$A$10:$F$111,MATCH(TAP_DCF!$B18,'Income Statement'!$A$10:$A$111,0),MATCH(TAP_DCF!I$13,'Income Statement'!$A$11:$F$11))</f>
        <v>207.3</v>
      </c>
      <c r="J18" s="141">
        <f>INDEX('Income Statement'!$A$10:$F$111,MATCH(TAP_DCF!$B18,'Income Statement'!$A$10:$A$111,0),MATCH(TAP_DCF!J$13,'Income Statement'!$A$11:$F$11))</f>
        <v>206.4</v>
      </c>
      <c r="K18" s="130">
        <f>K35*K14</f>
        <v>208.86742799999996</v>
      </c>
      <c r="L18" s="130">
        <f t="shared" ref="L18:O18" si="2">L35*L14</f>
        <v>211.98013286449995</v>
      </c>
      <c r="M18" s="130">
        <f t="shared" si="2"/>
        <v>215.74350618220396</v>
      </c>
      <c r="N18" s="130">
        <f t="shared" si="2"/>
        <v>220.18957168122907</v>
      </c>
      <c r="O18" s="130">
        <f t="shared" si="2"/>
        <v>225.35668696334861</v>
      </c>
    </row>
    <row r="19" spans="2:26" outlineLevel="1" x14ac:dyDescent="0.15">
      <c r="B19" s="94" t="s">
        <v>34</v>
      </c>
      <c r="C19" s="94"/>
      <c r="D19" s="94"/>
      <c r="E19" s="94"/>
      <c r="F19" s="92">
        <f>F16-F17-F18</f>
        <v>1389.1999999999998</v>
      </c>
      <c r="G19" s="92">
        <f t="shared" ref="G19:O19" si="3">G16-G17-G18</f>
        <v>1545.3000000000006</v>
      </c>
      <c r="H19" s="92">
        <f t="shared" si="3"/>
        <v>1129</v>
      </c>
      <c r="I19" s="92">
        <f t="shared" si="3"/>
        <v>1599.1000000000001</v>
      </c>
      <c r="J19" s="117">
        <f t="shared" si="3"/>
        <v>1810.8999999999996</v>
      </c>
      <c r="K19" s="139">
        <f t="shared" si="3"/>
        <v>1682.5431699999995</v>
      </c>
      <c r="L19" s="139">
        <f t="shared" si="3"/>
        <v>1692.9372254794994</v>
      </c>
      <c r="M19" s="139">
        <f t="shared" si="3"/>
        <v>1708.4553327401554</v>
      </c>
      <c r="N19" s="139">
        <f t="shared" si="3"/>
        <v>1729.2221029365851</v>
      </c>
      <c r="O19" s="139">
        <f t="shared" si="3"/>
        <v>1755.4099826618717</v>
      </c>
      <c r="U19" s="41" t="s">
        <v>358</v>
      </c>
      <c r="V19" s="41" t="s">
        <v>557</v>
      </c>
      <c r="W19" s="41" t="s">
        <v>558</v>
      </c>
      <c r="X19" s="41" t="s">
        <v>559</v>
      </c>
      <c r="Y19" s="41" t="s">
        <v>556</v>
      </c>
      <c r="Z19" s="41" t="s">
        <v>560</v>
      </c>
    </row>
    <row r="20" spans="2:26" outlineLevel="1" x14ac:dyDescent="0.15">
      <c r="B20" s="41" t="s">
        <v>350</v>
      </c>
      <c r="C20" s="93">
        <v>0.25</v>
      </c>
      <c r="F20" s="122">
        <f>F19*$C$20</f>
        <v>347.29999999999995</v>
      </c>
      <c r="G20" s="122">
        <f t="shared" ref="G20:I20" si="4">G19*$C$20</f>
        <v>386.32500000000016</v>
      </c>
      <c r="H20" s="122">
        <f t="shared" si="4"/>
        <v>282.25</v>
      </c>
      <c r="I20" s="122">
        <f t="shared" si="4"/>
        <v>399.77500000000003</v>
      </c>
      <c r="J20" s="124">
        <f>J19*$C$20</f>
        <v>452.72499999999991</v>
      </c>
      <c r="K20" s="125">
        <f t="shared" ref="K20" si="5">K19*$C$20</f>
        <v>420.63579249999987</v>
      </c>
      <c r="L20" s="123">
        <f t="shared" ref="L20" si="6">L19*$C$20</f>
        <v>423.23430636987484</v>
      </c>
      <c r="M20" s="123">
        <f t="shared" ref="M20" si="7">M19*$C$20</f>
        <v>427.11383318503886</v>
      </c>
      <c r="N20" s="123">
        <f t="shared" ref="N20" si="8">N19*$C$20</f>
        <v>432.30552573414627</v>
      </c>
      <c r="O20" s="123">
        <f t="shared" ref="O20" si="9">O19*$C$20</f>
        <v>438.85249566546793</v>
      </c>
      <c r="T20" s="41">
        <v>2024</v>
      </c>
      <c r="U20" s="111">
        <v>-6.0000000000000001E-3</v>
      </c>
      <c r="V20" s="111">
        <v>0.61</v>
      </c>
      <c r="W20" s="111">
        <v>0.216</v>
      </c>
      <c r="X20" s="111">
        <v>1.7999999999999999E-2</v>
      </c>
      <c r="Y20" s="111">
        <v>0.98799999999999999</v>
      </c>
      <c r="Z20" s="111">
        <v>5.8000000000000003E-2</v>
      </c>
    </row>
    <row r="21" spans="2:26" outlineLevel="1" x14ac:dyDescent="0.15">
      <c r="B21" s="78" t="s">
        <v>349</v>
      </c>
      <c r="C21" s="78"/>
      <c r="D21" s="78"/>
      <c r="E21" s="78"/>
      <c r="F21" s="118">
        <f>F19-F20</f>
        <v>1041.8999999999999</v>
      </c>
      <c r="G21" s="118">
        <f t="shared" ref="G21:O21" si="10">G19-G20</f>
        <v>1158.9750000000004</v>
      </c>
      <c r="H21" s="118">
        <f t="shared" si="10"/>
        <v>846.75</v>
      </c>
      <c r="I21" s="118">
        <f t="shared" si="10"/>
        <v>1199.325</v>
      </c>
      <c r="J21" s="119">
        <f t="shared" si="10"/>
        <v>1358.1749999999997</v>
      </c>
      <c r="K21" s="131">
        <f t="shared" si="10"/>
        <v>1261.9073774999997</v>
      </c>
      <c r="L21" s="131">
        <f t="shared" si="10"/>
        <v>1269.7029191096244</v>
      </c>
      <c r="M21" s="131">
        <f t="shared" si="10"/>
        <v>1281.3414995551166</v>
      </c>
      <c r="N21" s="131">
        <f t="shared" si="10"/>
        <v>1296.9165772024389</v>
      </c>
      <c r="O21" s="131">
        <f t="shared" si="10"/>
        <v>1316.5574869964039</v>
      </c>
      <c r="T21" s="41">
        <v>2029</v>
      </c>
      <c r="U21" s="111">
        <v>0.01</v>
      </c>
      <c r="V21" s="111">
        <v>0.61499999999999999</v>
      </c>
      <c r="W21" s="111">
        <v>0.218</v>
      </c>
      <c r="X21" s="111">
        <v>1.9E-2</v>
      </c>
      <c r="Y21" s="111">
        <v>1</v>
      </c>
      <c r="Z21" s="111">
        <v>0.06</v>
      </c>
    </row>
    <row r="22" spans="2:26" outlineLevel="1" x14ac:dyDescent="0.15">
      <c r="F22" s="92"/>
      <c r="G22" s="92"/>
      <c r="H22" s="92"/>
      <c r="I22" s="92"/>
      <c r="J22" s="117"/>
      <c r="K22" s="132"/>
      <c r="L22" s="132"/>
      <c r="M22" s="132"/>
      <c r="N22" s="132"/>
      <c r="O22" s="132"/>
    </row>
    <row r="23" spans="2:26" outlineLevel="1" x14ac:dyDescent="0.15">
      <c r="B23" s="106" t="s">
        <v>401</v>
      </c>
      <c r="F23" s="127">
        <f>INDEX('Income Statement'!$A$10:$F$113,MATCH(TAP_DCF!$B23,'Income Statement'!$A$10:$A$113,0),MATCH(TAP_DCF!F$13,'Income Statement'!$A$11:$F$11))</f>
        <v>809.7</v>
      </c>
      <c r="G23" s="127">
        <f>INDEX('Income Statement'!$A$10:$F$113,MATCH(TAP_DCF!$B23,'Income Statement'!$A$10:$A$113,0),MATCH(TAP_DCF!G$13,'Income Statement'!$A$11:$F$11))</f>
        <v>770.7</v>
      </c>
      <c r="H23" s="127">
        <f>INDEX('Income Statement'!$A$10:$F$113,MATCH(TAP_DCF!$B23,'Income Statement'!$A$10:$A$113,0),MATCH(TAP_DCF!H$13,'Income Statement'!$A$11:$F$11))</f>
        <v>684.8</v>
      </c>
      <c r="I23" s="127">
        <f>INDEX('Income Statement'!$A$10:$F$113,MATCH(TAP_DCF!$B23,'Income Statement'!$A$10:$A$113,0),MATCH(TAP_DCF!I$13,'Income Statement'!$A$11:$F$11))</f>
        <v>682.8</v>
      </c>
      <c r="J23" s="128">
        <f>INDEX('Income Statement'!$A$10:$F$113,MATCH(TAP_DCF!$B23,'Income Statement'!$A$10:$A$113,0),MATCH(TAP_DCF!J$13,'Income Statement'!$A$11:$F$11))</f>
        <v>665.8</v>
      </c>
      <c r="K23" s="126">
        <f>-K24*K36</f>
        <v>606.29572849999988</v>
      </c>
      <c r="L23" s="126">
        <f t="shared" ref="L23:O23" si="11">-L24*L36</f>
        <v>628.86229484203113</v>
      </c>
      <c r="M23" s="126">
        <f t="shared" si="11"/>
        <v>653.7902873156653</v>
      </c>
      <c r="N23" s="126">
        <f t="shared" si="11"/>
        <v>681.30323304366959</v>
      </c>
      <c r="O23" s="126">
        <f t="shared" si="11"/>
        <v>711.65269567373241</v>
      </c>
    </row>
    <row r="24" spans="2:26" outlineLevel="1" x14ac:dyDescent="0.15">
      <c r="B24" s="41" t="s">
        <v>390</v>
      </c>
      <c r="F24" s="127">
        <f>INDEX('Income Statement'!$A$10:$F$113,MATCH(TAP_DCF!$B24,'Income Statement'!$A$10:$A$113,0),MATCH(TAP_DCF!F$13,'Income Statement'!$A$11:$F$11))</f>
        <v>-574.79999999999995</v>
      </c>
      <c r="G24" s="127">
        <f>INDEX('Income Statement'!$A$10:$F$113,MATCH(TAP_DCF!$B24,'Income Statement'!$A$10:$A$113,0),MATCH(TAP_DCF!G$13,'Income Statement'!$A$11:$F$11))</f>
        <v>-522.6</v>
      </c>
      <c r="H24" s="127">
        <f>INDEX('Income Statement'!$A$10:$F$113,MATCH(TAP_DCF!$B24,'Income Statement'!$A$10:$A$113,0),MATCH(TAP_DCF!H$13,'Income Statement'!$A$11:$F$11))</f>
        <v>-661.4</v>
      </c>
      <c r="I24" s="127">
        <f>INDEX('Income Statement'!$A$10:$F$113,MATCH(TAP_DCF!$B24,'Income Statement'!$A$10:$A$113,0),MATCH(TAP_DCF!I$13,'Income Statement'!$A$11:$F$11))</f>
        <v>-671.5</v>
      </c>
      <c r="J24" s="128">
        <f>INDEX('Income Statement'!$A$10:$F$113,MATCH(TAP_DCF!$B24,'Income Statement'!$A$10:$A$113,0),MATCH(TAP_DCF!J$13,'Income Statement'!$A$11:$F$11))</f>
        <v>-674.1</v>
      </c>
      <c r="K24" s="133">
        <f>-K37*K14</f>
        <v>-638.20602999999994</v>
      </c>
      <c r="L24" s="133">
        <f t="shared" ref="L24:O24" si="12">-L37*L14</f>
        <v>-653.36342321249992</v>
      </c>
      <c r="M24" s="133">
        <f t="shared" si="12"/>
        <v>-670.5541408365799</v>
      </c>
      <c r="N24" s="133">
        <f t="shared" si="12"/>
        <v>-689.92732460118452</v>
      </c>
      <c r="O24" s="133">
        <f t="shared" si="12"/>
        <v>-711.65269567373252</v>
      </c>
    </row>
    <row r="25" spans="2:26" outlineLevel="1" x14ac:dyDescent="0.15">
      <c r="B25" s="41" t="s">
        <v>348</v>
      </c>
      <c r="F25" s="114"/>
      <c r="G25" s="87">
        <f>-G73</f>
        <v>-300.19999999999936</v>
      </c>
      <c r="H25" s="87">
        <f t="shared" ref="H25:O25" si="13">-H73</f>
        <v>56.699999999999818</v>
      </c>
      <c r="I25" s="87">
        <f t="shared" si="13"/>
        <v>259.30000000000018</v>
      </c>
      <c r="J25" s="138">
        <f t="shared" si="13"/>
        <v>-68.7000000000005</v>
      </c>
      <c r="K25" s="87">
        <f>-K73</f>
        <v>-4.7441299999998137</v>
      </c>
      <c r="L25" s="87">
        <f t="shared" si="13"/>
        <v>9.8138681794998774</v>
      </c>
      <c r="M25" s="87">
        <f t="shared" si="13"/>
        <v>13.19503731145619</v>
      </c>
      <c r="N25" s="87">
        <f t="shared" si="13"/>
        <v>16.685136295685652</v>
      </c>
      <c r="O25" s="87">
        <f t="shared" si="13"/>
        <v>20.316157813788095</v>
      </c>
    </row>
    <row r="26" spans="2:26" outlineLevel="1" x14ac:dyDescent="0.15">
      <c r="B26" s="110" t="s">
        <v>347</v>
      </c>
      <c r="C26" s="110"/>
      <c r="D26" s="110"/>
      <c r="E26" s="110"/>
      <c r="F26" s="176">
        <f>SUM(F21:F25)</f>
        <v>1276.8</v>
      </c>
      <c r="G26" s="176">
        <f>SUM(G21:G25)</f>
        <v>1106.8750000000009</v>
      </c>
      <c r="H26" s="176">
        <f t="shared" ref="H26:O26" si="14">SUM(H21:H25)</f>
        <v>926.8499999999998</v>
      </c>
      <c r="I26" s="176">
        <f t="shared" si="14"/>
        <v>1469.9250000000002</v>
      </c>
      <c r="J26" s="177">
        <f t="shared" si="14"/>
        <v>1281.174999999999</v>
      </c>
      <c r="K26" s="178">
        <f>SUM(K21:K25)</f>
        <v>1225.2529459999998</v>
      </c>
      <c r="L26" s="178">
        <f t="shared" si="14"/>
        <v>1255.0156589186554</v>
      </c>
      <c r="M26" s="178">
        <f t="shared" si="14"/>
        <v>1277.7726833456584</v>
      </c>
      <c r="N26" s="178">
        <f t="shared" si="14"/>
        <v>1304.9776219406097</v>
      </c>
      <c r="O26" s="178">
        <f t="shared" si="14"/>
        <v>1336.873644810192</v>
      </c>
    </row>
    <row r="27" spans="2:26" outlineLevel="1" x14ac:dyDescent="0.15">
      <c r="C27" s="70"/>
      <c r="D27" s="70"/>
      <c r="E27" s="70"/>
      <c r="F27" s="120"/>
      <c r="G27" s="120"/>
      <c r="H27" s="120"/>
      <c r="I27" s="120"/>
      <c r="J27" s="121"/>
      <c r="K27" s="132"/>
      <c r="L27" s="132"/>
      <c r="M27" s="132"/>
      <c r="N27" s="132"/>
      <c r="O27" s="132"/>
    </row>
    <row r="28" spans="2:26" outlineLevel="1" x14ac:dyDescent="0.15">
      <c r="F28" s="112"/>
      <c r="G28" s="112"/>
      <c r="H28" s="112"/>
      <c r="I28" s="112"/>
      <c r="J28" s="113"/>
    </row>
    <row r="29" spans="2:26" outlineLevel="1" x14ac:dyDescent="0.15">
      <c r="F29" s="86" t="s">
        <v>105</v>
      </c>
      <c r="G29" s="85"/>
      <c r="H29" s="85"/>
      <c r="I29" s="85"/>
      <c r="J29" s="84"/>
      <c r="K29" s="86" t="s">
        <v>317</v>
      </c>
      <c r="L29" s="85"/>
      <c r="M29" s="85"/>
      <c r="N29" s="85"/>
      <c r="O29" s="84"/>
    </row>
    <row r="30" spans="2:26" outlineLevel="1" x14ac:dyDescent="0.15">
      <c r="F30" s="91">
        <f>F13</f>
        <v>2020</v>
      </c>
      <c r="G30" s="81">
        <f t="shared" ref="G30:O30" si="15">F30+1</f>
        <v>2021</v>
      </c>
      <c r="H30" s="81">
        <f t="shared" si="15"/>
        <v>2022</v>
      </c>
      <c r="I30" s="81">
        <f t="shared" si="15"/>
        <v>2023</v>
      </c>
      <c r="J30" s="82">
        <f t="shared" si="15"/>
        <v>2024</v>
      </c>
      <c r="K30" s="81">
        <f t="shared" si="15"/>
        <v>2025</v>
      </c>
      <c r="L30" s="81">
        <f t="shared" si="15"/>
        <v>2026</v>
      </c>
      <c r="M30" s="81">
        <f t="shared" si="15"/>
        <v>2027</v>
      </c>
      <c r="N30" s="81">
        <f t="shared" si="15"/>
        <v>2028</v>
      </c>
      <c r="O30" s="81">
        <f t="shared" si="15"/>
        <v>2029</v>
      </c>
    </row>
    <row r="31" spans="2:26" outlineLevel="1" x14ac:dyDescent="0.15">
      <c r="B31" s="70" t="s">
        <v>346</v>
      </c>
      <c r="C31" s="70"/>
      <c r="E31" s="70"/>
      <c r="F31" s="132"/>
      <c r="G31" s="132"/>
      <c r="H31" s="132"/>
      <c r="I31" s="132"/>
      <c r="J31" s="134"/>
      <c r="K31" s="132"/>
      <c r="L31" s="132"/>
      <c r="M31" s="132"/>
      <c r="N31" s="132"/>
      <c r="O31" s="132"/>
      <c r="R31" s="132"/>
      <c r="S31" s="132"/>
      <c r="T31" s="132"/>
    </row>
    <row r="32" spans="2:26" outlineLevel="1" x14ac:dyDescent="0.15">
      <c r="B32" s="105" t="s">
        <v>358</v>
      </c>
      <c r="F32" s="107"/>
      <c r="G32" s="107">
        <f>G14/F14-1</f>
        <v>6.4812512948000833E-2</v>
      </c>
      <c r="H32" s="107">
        <f>H14/G14-1</f>
        <v>4.0983686294347121E-2</v>
      </c>
      <c r="I32" s="107">
        <f>I14/H14-1</f>
        <v>9.3552004485562223E-2</v>
      </c>
      <c r="J32" s="108">
        <f>J14/I14-1</f>
        <v>-6.4176515326309636E-3</v>
      </c>
      <c r="K32" s="111">
        <v>-2E-3</v>
      </c>
      <c r="L32" s="135">
        <f>K32+$S$32</f>
        <v>1E-3</v>
      </c>
      <c r="M32" s="135">
        <f t="shared" ref="M32:O32" si="16">L32+$S$32</f>
        <v>4.0000000000000001E-3</v>
      </c>
      <c r="N32" s="135">
        <f t="shared" si="16"/>
        <v>7.0000000000000001E-3</v>
      </c>
      <c r="O32" s="135">
        <f t="shared" si="16"/>
        <v>0.01</v>
      </c>
      <c r="Q32" s="80" t="s">
        <v>345</v>
      </c>
      <c r="R32" s="214">
        <v>0.01</v>
      </c>
      <c r="S32" s="135">
        <f>(R32-K32)/($O$30-$K$30)</f>
        <v>3.0000000000000001E-3</v>
      </c>
      <c r="T32" s="132"/>
    </row>
    <row r="33" spans="1:20" outlineLevel="1" x14ac:dyDescent="0.15">
      <c r="B33" s="41" t="s">
        <v>359</v>
      </c>
      <c r="F33" s="135">
        <f>F15/F14</f>
        <v>0.60680546923555012</v>
      </c>
      <c r="G33" s="135">
        <f>G15/G14</f>
        <v>0.60568888197126369</v>
      </c>
      <c r="H33" s="135">
        <f>H15/H14</f>
        <v>0.65842444631342867</v>
      </c>
      <c r="I33" s="135">
        <f>I15/I14</f>
        <v>0.6266652993907077</v>
      </c>
      <c r="J33" s="136">
        <f>J15/J14</f>
        <v>0.61009718758063136</v>
      </c>
      <c r="K33" s="111">
        <v>0.62</v>
      </c>
      <c r="L33" s="135">
        <f t="shared" ref="L33:O33" si="17">K33+$S$33</f>
        <v>0.61875000000000002</v>
      </c>
      <c r="M33" s="135">
        <f t="shared" si="17"/>
        <v>0.61750000000000005</v>
      </c>
      <c r="N33" s="135">
        <f>M33+$S$33</f>
        <v>0.61625000000000008</v>
      </c>
      <c r="O33" s="135">
        <f t="shared" si="17"/>
        <v>0.6150000000000001</v>
      </c>
      <c r="Q33" s="80" t="s">
        <v>345</v>
      </c>
      <c r="R33" s="214">
        <v>0.61499999999999999</v>
      </c>
      <c r="S33" s="135">
        <f>(R33-K33)/($O$30-$K$30)</f>
        <v>-1.2500000000000011E-3</v>
      </c>
      <c r="T33" s="132"/>
    </row>
    <row r="34" spans="1:20" outlineLevel="1" x14ac:dyDescent="0.15">
      <c r="B34" s="41" t="s">
        <v>360</v>
      </c>
      <c r="F34" s="135">
        <f>F17/F14</f>
        <v>0.22650714729645741</v>
      </c>
      <c r="G34" s="135">
        <f>G17/G14</f>
        <v>0.22277887486988918</v>
      </c>
      <c r="H34" s="135">
        <f>H17/H14</f>
        <v>0.21662461452200729</v>
      </c>
      <c r="I34" s="135">
        <f>I17/I14</f>
        <v>0.21896924483639688</v>
      </c>
      <c r="J34" s="136">
        <f>J17/J14</f>
        <v>0.21640147931538659</v>
      </c>
      <c r="K34" s="111">
        <v>0.217</v>
      </c>
      <c r="L34" s="135">
        <f>K34+$S$34</f>
        <v>0.21725</v>
      </c>
      <c r="M34" s="135">
        <f t="shared" ref="M34:O34" si="18">L34+$S$34</f>
        <v>0.2175</v>
      </c>
      <c r="N34" s="135">
        <f t="shared" si="18"/>
        <v>0.21775</v>
      </c>
      <c r="O34" s="135">
        <f t="shared" si="18"/>
        <v>0.218</v>
      </c>
      <c r="Q34" s="80" t="s">
        <v>345</v>
      </c>
      <c r="R34" s="214">
        <v>0.218</v>
      </c>
      <c r="S34" s="135">
        <f t="shared" ref="S34:S37" si="19">(R34-K34)/($O$30-$K$30)</f>
        <v>2.5000000000000022E-4</v>
      </c>
      <c r="T34" s="132"/>
    </row>
    <row r="35" spans="1:20" outlineLevel="1" x14ac:dyDescent="0.15">
      <c r="B35" s="41" t="s">
        <v>426</v>
      </c>
      <c r="F35" s="135">
        <f>F18/F14</f>
        <v>2.2788481458462812E-2</v>
      </c>
      <c r="G35" s="135">
        <f t="shared" ref="G35:J35" si="20">G18/G14</f>
        <v>2.1206844557720556E-2</v>
      </c>
      <c r="H35" s="135">
        <f t="shared" si="20"/>
        <v>1.9446780674703297E-2</v>
      </c>
      <c r="I35" s="135">
        <f t="shared" si="20"/>
        <v>1.7714769143999796E-2</v>
      </c>
      <c r="J35" s="136">
        <f t="shared" si="20"/>
        <v>1.7751784639201858E-2</v>
      </c>
      <c r="K35" s="111">
        <v>1.7999999999999999E-2</v>
      </c>
      <c r="L35" s="135">
        <f>K35+$S$35</f>
        <v>1.8249999999999999E-2</v>
      </c>
      <c r="M35" s="135">
        <f t="shared" ref="M35:O35" si="21">L35+$S$35</f>
        <v>1.8499999999999999E-2</v>
      </c>
      <c r="N35" s="135">
        <f t="shared" si="21"/>
        <v>1.8749999999999999E-2</v>
      </c>
      <c r="O35" s="135">
        <f t="shared" si="21"/>
        <v>1.9E-2</v>
      </c>
      <c r="Q35" s="80" t="s">
        <v>345</v>
      </c>
      <c r="R35" s="214">
        <v>1.9E-2</v>
      </c>
      <c r="S35" s="135">
        <f t="shared" ref="S35" si="22">(R35-K35)/($O$30-$K$30)</f>
        <v>2.5000000000000022E-4</v>
      </c>
      <c r="T35" s="132"/>
    </row>
    <row r="36" spans="1:20" outlineLevel="1" x14ac:dyDescent="0.15">
      <c r="B36" s="106" t="s">
        <v>406</v>
      </c>
      <c r="F36" s="135">
        <f>-F23/F24</f>
        <v>1.4086638830897706</v>
      </c>
      <c r="G36" s="135">
        <f>-G23/G24</f>
        <v>1.4747416762342136</v>
      </c>
      <c r="H36" s="135">
        <f>-H23/H24</f>
        <v>1.0353794980344724</v>
      </c>
      <c r="I36" s="135">
        <f>-I23/I24</f>
        <v>1.0168279970215934</v>
      </c>
      <c r="J36" s="136">
        <f>-J23/J24</f>
        <v>0.98768728675270723</v>
      </c>
      <c r="K36" s="111">
        <v>0.95</v>
      </c>
      <c r="L36" s="135">
        <f t="shared" ref="L36:O36" si="23">K36+$S$36</f>
        <v>0.96249999999999991</v>
      </c>
      <c r="M36" s="135">
        <f t="shared" si="23"/>
        <v>0.97499999999999987</v>
      </c>
      <c r="N36" s="135">
        <f t="shared" si="23"/>
        <v>0.98749999999999982</v>
      </c>
      <c r="O36" s="135">
        <f t="shared" si="23"/>
        <v>0.99999999999999978</v>
      </c>
      <c r="Q36" s="80" t="s">
        <v>345</v>
      </c>
      <c r="R36" s="214">
        <v>1</v>
      </c>
      <c r="S36" s="135">
        <f t="shared" si="19"/>
        <v>1.2500000000000011E-2</v>
      </c>
      <c r="T36" s="132"/>
    </row>
    <row r="37" spans="1:20" outlineLevel="1" x14ac:dyDescent="0.15">
      <c r="B37" s="106" t="s">
        <v>361</v>
      </c>
      <c r="F37" s="135">
        <f>-F24/F14</f>
        <v>5.9540087010565561E-2</v>
      </c>
      <c r="G37" s="135">
        <f>-G24/G14</f>
        <v>5.0838059476443861E-2</v>
      </c>
      <c r="H37" s="135">
        <f>-H24/H14</f>
        <v>6.1807307728249695E-2</v>
      </c>
      <c r="I37" s="135">
        <f>-I24/I14</f>
        <v>5.7382862904948685E-2</v>
      </c>
      <c r="J37" s="136">
        <f>-J24/J14</f>
        <v>5.7977122215532813E-2</v>
      </c>
      <c r="K37" s="111">
        <v>5.5E-2</v>
      </c>
      <c r="L37" s="135">
        <f t="shared" ref="L37:O37" si="24">K37+$S$37</f>
        <v>5.6250000000000001E-2</v>
      </c>
      <c r="M37" s="135">
        <f t="shared" si="24"/>
        <v>5.7500000000000002E-2</v>
      </c>
      <c r="N37" s="135">
        <f t="shared" si="24"/>
        <v>5.8750000000000004E-2</v>
      </c>
      <c r="O37" s="135">
        <f t="shared" si="24"/>
        <v>6.0000000000000005E-2</v>
      </c>
      <c r="Q37" s="80" t="s">
        <v>345</v>
      </c>
      <c r="R37" s="214">
        <v>0.06</v>
      </c>
      <c r="S37" s="135">
        <f t="shared" si="19"/>
        <v>1.2499999999999994E-3</v>
      </c>
      <c r="T37" s="132"/>
    </row>
    <row r="38" spans="1:20" outlineLevel="1" x14ac:dyDescent="0.15">
      <c r="B38" s="106" t="s">
        <v>362</v>
      </c>
      <c r="F38" s="135">
        <f t="shared" ref="F38:O38" si="25">F16/F14</f>
        <v>0.39319453076444993</v>
      </c>
      <c r="G38" s="135">
        <f t="shared" si="25"/>
        <v>0.39431111802873625</v>
      </c>
      <c r="H38" s="135">
        <f t="shared" si="25"/>
        <v>0.34157555368657133</v>
      </c>
      <c r="I38" s="135">
        <f t="shared" si="25"/>
        <v>0.37333470060929236</v>
      </c>
      <c r="J38" s="135">
        <f t="shared" si="25"/>
        <v>0.38990281241936869</v>
      </c>
      <c r="K38" s="137">
        <f t="shared" si="25"/>
        <v>0.38</v>
      </c>
      <c r="L38" s="135">
        <f t="shared" si="25"/>
        <v>0.38124999999999998</v>
      </c>
      <c r="M38" s="135">
        <f t="shared" si="25"/>
        <v>0.38249999999999995</v>
      </c>
      <c r="N38" s="135">
        <f t="shared" si="25"/>
        <v>0.38374999999999992</v>
      </c>
      <c r="O38" s="135">
        <f t="shared" si="25"/>
        <v>0.38499999999999984</v>
      </c>
      <c r="Q38" s="80"/>
      <c r="R38" s="214"/>
      <c r="S38" s="135"/>
    </row>
    <row r="39" spans="1:20" outlineLevel="1" x14ac:dyDescent="0.15">
      <c r="B39" s="106"/>
      <c r="F39" s="132"/>
      <c r="G39" s="132"/>
      <c r="H39" s="132"/>
      <c r="I39" s="132"/>
      <c r="J39" s="134"/>
      <c r="K39" s="132"/>
      <c r="L39" s="132"/>
      <c r="M39" s="132"/>
      <c r="N39" s="132"/>
      <c r="O39" s="132"/>
    </row>
    <row r="40" spans="1:20" x14ac:dyDescent="0.15">
      <c r="A40" s="41" t="s">
        <v>272</v>
      </c>
      <c r="B40" s="53" t="s">
        <v>344</v>
      </c>
      <c r="C40" s="52"/>
      <c r="D40" s="53"/>
      <c r="E40" s="53"/>
      <c r="F40" s="52"/>
      <c r="G40" s="52"/>
      <c r="H40" s="52"/>
      <c r="I40" s="52"/>
      <c r="J40" s="52"/>
      <c r="K40" s="52"/>
      <c r="L40" s="52"/>
      <c r="M40" s="52"/>
      <c r="N40" s="52"/>
      <c r="O40" s="52"/>
    </row>
    <row r="41" spans="1:20" outlineLevel="1" x14ac:dyDescent="0.15"/>
    <row r="42" spans="1:20" outlineLevel="1" x14ac:dyDescent="0.15">
      <c r="F42" s="79" t="s">
        <v>343</v>
      </c>
      <c r="G42" s="78"/>
      <c r="H42" s="77"/>
      <c r="I42" s="132"/>
      <c r="K42" s="79" t="s">
        <v>342</v>
      </c>
      <c r="L42" s="78"/>
      <c r="M42" s="78"/>
      <c r="N42" s="77"/>
      <c r="P42" s="79" t="s">
        <v>341</v>
      </c>
      <c r="Q42" s="78"/>
      <c r="R42" s="78"/>
      <c r="S42" s="77"/>
    </row>
    <row r="43" spans="1:20" outlineLevel="1" x14ac:dyDescent="0.15">
      <c r="F43" s="76" t="s">
        <v>340</v>
      </c>
      <c r="H43" s="192">
        <f>O26</f>
        <v>1336.873644810192</v>
      </c>
      <c r="I43" s="132"/>
      <c r="K43" s="76" t="s">
        <v>339</v>
      </c>
      <c r="N43" s="169">
        <f>O19+O23</f>
        <v>2467.0626783356042</v>
      </c>
      <c r="P43" s="76" t="s">
        <v>338</v>
      </c>
      <c r="S43" s="134"/>
    </row>
    <row r="44" spans="1:20" outlineLevel="1" x14ac:dyDescent="0.15">
      <c r="F44" s="76" t="s">
        <v>337</v>
      </c>
      <c r="H44" s="156">
        <v>1.4999999999999999E-2</v>
      </c>
      <c r="I44" s="132"/>
      <c r="K44" s="76" t="s">
        <v>336</v>
      </c>
      <c r="N44" s="157">
        <v>9.6</v>
      </c>
      <c r="P44" s="76" t="s">
        <v>335</v>
      </c>
      <c r="S44" s="134"/>
    </row>
    <row r="45" spans="1:20" outlineLevel="1" x14ac:dyDescent="0.15">
      <c r="F45" s="76" t="s">
        <v>334</v>
      </c>
      <c r="H45" s="185">
        <f>(H43*(1+H44))/(H46-H44)</f>
        <v>26204.125722173598</v>
      </c>
      <c r="I45" s="132"/>
      <c r="K45" s="76" t="s">
        <v>334</v>
      </c>
      <c r="N45" s="169">
        <f>N43*N44</f>
        <v>23683.801712021799</v>
      </c>
      <c r="O45" s="42"/>
      <c r="P45" s="76" t="s">
        <v>333</v>
      </c>
      <c r="S45" s="134"/>
    </row>
    <row r="46" spans="1:20" outlineLevel="1" x14ac:dyDescent="0.15">
      <c r="F46" s="76" t="s">
        <v>332</v>
      </c>
      <c r="H46" s="155">
        <f>$F$119</f>
        <v>6.6782943032292458E-2</v>
      </c>
      <c r="I46" s="132"/>
      <c r="K46" s="76" t="s">
        <v>332</v>
      </c>
      <c r="N46" s="155">
        <f>$F$119</f>
        <v>6.6782943032292458E-2</v>
      </c>
      <c r="O46" s="42"/>
      <c r="P46" s="75" t="s">
        <v>323</v>
      </c>
      <c r="Q46" s="74"/>
      <c r="R46" s="74"/>
      <c r="S46" s="215"/>
    </row>
    <row r="47" spans="1:20" outlineLevel="1" x14ac:dyDescent="0.15">
      <c r="F47" s="76" t="s">
        <v>331</v>
      </c>
      <c r="H47" s="185">
        <f>H45/(1+H46)^(O13-J13)</f>
        <v>18966.594494299021</v>
      </c>
      <c r="I47" s="132"/>
      <c r="K47" s="76" t="s">
        <v>331</v>
      </c>
      <c r="N47" s="169">
        <f>-PV(N46,O13-J13,,N45)</f>
        <v>17142.379330564505</v>
      </c>
    </row>
    <row r="48" spans="1:20" outlineLevel="1" x14ac:dyDescent="0.15">
      <c r="F48" s="76"/>
      <c r="H48" s="90"/>
      <c r="I48" s="132"/>
      <c r="K48" s="76"/>
      <c r="N48" s="134"/>
      <c r="P48" s="79" t="s">
        <v>330</v>
      </c>
      <c r="Q48" s="78"/>
      <c r="R48" s="78"/>
      <c r="S48" s="77"/>
    </row>
    <row r="49" spans="1:19" outlineLevel="1" x14ac:dyDescent="0.15">
      <c r="F49" s="76" t="s">
        <v>329</v>
      </c>
      <c r="H49" s="186">
        <f>NPV(H46,K26:O26)</f>
        <v>5279.1144334486453</v>
      </c>
      <c r="I49" s="132"/>
      <c r="K49" s="76" t="s">
        <v>329</v>
      </c>
      <c r="N49" s="169">
        <f>NPV(N46,K26:O26)</f>
        <v>5279.1144334486453</v>
      </c>
      <c r="P49" s="76" t="s">
        <v>325</v>
      </c>
      <c r="S49" s="169">
        <f>N52</f>
        <v>16696.093764013152</v>
      </c>
    </row>
    <row r="50" spans="1:19" outlineLevel="1" x14ac:dyDescent="0.15">
      <c r="F50" s="76" t="s">
        <v>328</v>
      </c>
      <c r="H50" s="185">
        <f>H47+H49</f>
        <v>24245.708927747666</v>
      </c>
      <c r="I50" s="132"/>
      <c r="K50" s="76" t="s">
        <v>328</v>
      </c>
      <c r="N50" s="169">
        <f>N47+N49</f>
        <v>22421.49376401315</v>
      </c>
      <c r="P50" s="76" t="s">
        <v>324</v>
      </c>
      <c r="S50" s="189">
        <f>N93</f>
        <v>196.821011</v>
      </c>
    </row>
    <row r="51" spans="1:19" outlineLevel="1" x14ac:dyDescent="0.15">
      <c r="F51" s="76" t="s">
        <v>327</v>
      </c>
      <c r="H51" s="187">
        <f>'Balance Sheet'!F41+'Balance Sheet'!F42+'Balance Sheet'!F46+'Balance Sheet'!F47-'Balance Sheet'!F14+'Balance Sheet'!F60</f>
        <v>5725.4</v>
      </c>
      <c r="I51" s="132"/>
      <c r="K51" s="76" t="s">
        <v>327</v>
      </c>
      <c r="N51" s="188">
        <f>H51</f>
        <v>5725.4</v>
      </c>
      <c r="P51" s="76" t="s">
        <v>326</v>
      </c>
      <c r="S51" s="169">
        <f>N90</f>
        <v>124.71900000000001</v>
      </c>
    </row>
    <row r="52" spans="1:19" outlineLevel="1" x14ac:dyDescent="0.15">
      <c r="F52" s="76" t="s">
        <v>325</v>
      </c>
      <c r="H52" s="185">
        <f>H50-H51</f>
        <v>18520.308927747668</v>
      </c>
      <c r="I52" s="132"/>
      <c r="K52" s="76" t="s">
        <v>325</v>
      </c>
      <c r="N52" s="169">
        <f>N50-N51</f>
        <v>16696.093764013152</v>
      </c>
      <c r="P52" s="75" t="s">
        <v>323</v>
      </c>
      <c r="Q52" s="74"/>
      <c r="R52" s="74"/>
      <c r="S52" s="216">
        <f>(S49+S51)/S50</f>
        <v>85.462485323851695</v>
      </c>
    </row>
    <row r="53" spans="1:19" outlineLevel="1" x14ac:dyDescent="0.15">
      <c r="F53" s="76" t="s">
        <v>324</v>
      </c>
      <c r="H53" s="162">
        <f>I93</f>
        <v>194.721011</v>
      </c>
      <c r="I53" s="132"/>
      <c r="K53" s="76" t="s">
        <v>324</v>
      </c>
      <c r="N53" s="189">
        <f>I93</f>
        <v>194.721011</v>
      </c>
    </row>
    <row r="54" spans="1:19" outlineLevel="1" x14ac:dyDescent="0.15">
      <c r="F54" s="75" t="s">
        <v>323</v>
      </c>
      <c r="G54" s="74"/>
      <c r="H54" s="163">
        <f>H52/H53</f>
        <v>95.112021207345052</v>
      </c>
      <c r="I54" s="217"/>
      <c r="K54" s="75" t="s">
        <v>323</v>
      </c>
      <c r="L54" s="74"/>
      <c r="M54" s="74"/>
      <c r="N54" s="216">
        <f>N52/N53</f>
        <v>85.743668227016101</v>
      </c>
    </row>
    <row r="55" spans="1:19" outlineLevel="1" x14ac:dyDescent="0.15"/>
    <row r="56" spans="1:19" outlineLevel="1" x14ac:dyDescent="0.15">
      <c r="E56" s="69"/>
    </row>
    <row r="57" spans="1:19" outlineLevel="1" x14ac:dyDescent="0.15">
      <c r="G57" s="88"/>
    </row>
    <row r="58" spans="1:19" x14ac:dyDescent="0.15">
      <c r="A58" s="41" t="s">
        <v>272</v>
      </c>
      <c r="B58" s="53" t="s">
        <v>322</v>
      </c>
      <c r="C58" s="52"/>
      <c r="D58" s="53"/>
      <c r="E58" s="53"/>
      <c r="F58" s="52"/>
      <c r="G58" s="52"/>
      <c r="H58" s="52"/>
      <c r="I58" s="52"/>
      <c r="J58" s="52"/>
      <c r="K58" s="52"/>
      <c r="L58" s="52"/>
      <c r="M58" s="52"/>
      <c r="N58" s="52"/>
      <c r="O58" s="52"/>
    </row>
    <row r="59" spans="1:19" outlineLevel="1" x14ac:dyDescent="0.15"/>
    <row r="60" spans="1:19" outlineLevel="1" x14ac:dyDescent="0.15"/>
    <row r="61" spans="1:19" outlineLevel="1" x14ac:dyDescent="0.15">
      <c r="F61" s="86" t="s">
        <v>105</v>
      </c>
      <c r="G61" s="85"/>
      <c r="H61" s="85"/>
      <c r="I61" s="85"/>
      <c r="J61" s="84"/>
      <c r="K61" s="86" t="s">
        <v>317</v>
      </c>
      <c r="L61" s="85"/>
      <c r="M61" s="85"/>
      <c r="N61" s="85"/>
      <c r="O61" s="84"/>
    </row>
    <row r="62" spans="1:19" outlineLevel="1" x14ac:dyDescent="0.15">
      <c r="F62" s="83">
        <f>F13</f>
        <v>2020</v>
      </c>
      <c r="G62" s="81">
        <f t="shared" ref="G62:O62" si="26">F62+1</f>
        <v>2021</v>
      </c>
      <c r="H62" s="81">
        <f t="shared" si="26"/>
        <v>2022</v>
      </c>
      <c r="I62" s="81">
        <f t="shared" si="26"/>
        <v>2023</v>
      </c>
      <c r="J62" s="82">
        <f t="shared" si="26"/>
        <v>2024</v>
      </c>
      <c r="K62" s="81">
        <f t="shared" si="26"/>
        <v>2025</v>
      </c>
      <c r="L62" s="81">
        <f t="shared" si="26"/>
        <v>2026</v>
      </c>
      <c r="M62" s="81">
        <f t="shared" si="26"/>
        <v>2027</v>
      </c>
      <c r="N62" s="81">
        <f t="shared" si="26"/>
        <v>2028</v>
      </c>
      <c r="O62" s="81">
        <f t="shared" si="26"/>
        <v>2029</v>
      </c>
    </row>
    <row r="63" spans="1:19" outlineLevel="1" x14ac:dyDescent="0.15">
      <c r="B63" s="41" t="s">
        <v>492</v>
      </c>
      <c r="F63" s="170">
        <f>INDEX('Balance Sheet'!$A$10:$F$91,MATCH(TAP_DCF!$B63,'Balance Sheet'!$A$10:$A$91,0),MATCH(TAP_DCF!F$62,'Balance Sheet'!$A$11:$F$11,0))</f>
        <v>2418.8000000000002</v>
      </c>
      <c r="G63" s="170">
        <f>INDEX('Balance Sheet'!$A$10:$F$91,MATCH(TAP_DCF!$B63,'Balance Sheet'!$A$10:$A$91,0),MATCH(TAP_DCF!G$62,'Balance Sheet'!$A$11:$F$11,0))</f>
        <v>2778.7</v>
      </c>
      <c r="H63" s="170">
        <f>INDEX('Balance Sheet'!$A$10:$F$91,MATCH(TAP_DCF!$B63,'Balance Sheet'!$A$10:$A$91,0),MATCH(TAP_DCF!H$62,'Balance Sheet'!$A$11:$F$11,0))</f>
        <v>2638</v>
      </c>
      <c r="I63" s="170">
        <f>INDEX('Balance Sheet'!$A$10:$F$91,MATCH(TAP_DCF!$B63,'Balance Sheet'!$A$10:$A$91,0),MATCH(TAP_DCF!I$62,'Balance Sheet'!$A$11:$F$11,0))</f>
        <v>2848.5</v>
      </c>
      <c r="J63" s="175">
        <f>INDEX('Balance Sheet'!$A$10:$F$91,MATCH(TAP_DCF!$B63,'Balance Sheet'!$A$10:$A$91,0),MATCH(TAP_DCF!J$62,'Balance Sheet'!$A$11:$F$11,0))</f>
        <v>2848.4</v>
      </c>
    </row>
    <row r="64" spans="1:19" outlineLevel="1" x14ac:dyDescent="0.15">
      <c r="B64" s="41" t="s">
        <v>184</v>
      </c>
      <c r="F64" s="171">
        <f>INDEX('Balance Sheet'!$A$10:$F$91,MATCH(TAP_DCF!$B64,'Balance Sheet'!$A$10:$A$91,0),MATCH(TAP_DCF!F$62,'Balance Sheet'!$A$11:$F$11,0))</f>
        <v>770.1</v>
      </c>
      <c r="G64" s="171">
        <f>INDEX('Balance Sheet'!$A$10:$F$91,MATCH(TAP_DCF!$B64,'Balance Sheet'!$A$10:$A$91,0),MATCH(TAP_DCF!G$62,'Balance Sheet'!$A$11:$F$11,0))</f>
        <v>637.4</v>
      </c>
      <c r="H64" s="171">
        <f>INDEX('Balance Sheet'!$A$10:$F$91,MATCH(TAP_DCF!$B64,'Balance Sheet'!$A$10:$A$91,0),MATCH(TAP_DCF!H$62,'Balance Sheet'!$A$11:$F$11,0))</f>
        <v>600</v>
      </c>
      <c r="I64" s="171">
        <f>INDEX('Balance Sheet'!$A$10:$F$91,MATCH(TAP_DCF!$B64,'Balance Sheet'!$A$10:$A$91,0),MATCH(TAP_DCF!I$62,'Balance Sheet'!$A$11:$F$11,0))</f>
        <v>868.9</v>
      </c>
      <c r="J64" s="174">
        <f>INDEX('Balance Sheet'!$A$10:$F$91,MATCH(TAP_DCF!$B64,'Balance Sheet'!$A$10:$A$91,0),MATCH(TAP_DCF!J$62,'Balance Sheet'!$A$11:$F$11,0))</f>
        <v>969.3</v>
      </c>
    </row>
    <row r="65" spans="2:19" outlineLevel="1" x14ac:dyDescent="0.15">
      <c r="B65" s="109" t="s">
        <v>321</v>
      </c>
      <c r="C65" s="109"/>
      <c r="D65" s="109"/>
      <c r="E65" s="109"/>
      <c r="F65" s="218">
        <f>F63-F64</f>
        <v>1648.7000000000003</v>
      </c>
      <c r="G65" s="218">
        <f t="shared" ref="G65:J65" si="27">G63-G64</f>
        <v>2141.2999999999997</v>
      </c>
      <c r="H65" s="218">
        <f t="shared" si="27"/>
        <v>2038</v>
      </c>
      <c r="I65" s="218">
        <f t="shared" si="27"/>
        <v>1979.6</v>
      </c>
      <c r="J65" s="219">
        <f t="shared" si="27"/>
        <v>1879.1000000000001</v>
      </c>
    </row>
    <row r="66" spans="2:19" outlineLevel="1" x14ac:dyDescent="0.15">
      <c r="F66" s="131"/>
      <c r="G66" s="131"/>
      <c r="H66" s="131"/>
      <c r="I66" s="131"/>
      <c r="J66" s="220"/>
    </row>
    <row r="67" spans="2:19" outlineLevel="1" x14ac:dyDescent="0.15">
      <c r="B67" s="41" t="s">
        <v>407</v>
      </c>
      <c r="F67" s="172">
        <f>INDEX('Balance Sheet'!$A$10:$F$91,MATCH(TAP_DCF!$B67,'Balance Sheet'!$A$10:$A$91,0),MATCH(TAP_DCF!F$62,'Balance Sheet'!$A$11:$F$11,0))</f>
        <v>3909.6</v>
      </c>
      <c r="G67" s="172">
        <f>INDEX('Balance Sheet'!$A$10:$F$91,MATCH(TAP_DCF!$B67,'Balance Sheet'!$A$10:$A$91,0),MATCH(TAP_DCF!G$62,'Balance Sheet'!$A$11:$F$11,0))</f>
        <v>3622.2</v>
      </c>
      <c r="H67" s="172">
        <f>INDEX('Balance Sheet'!$A$10:$F$91,MATCH(TAP_DCF!$B67,'Balance Sheet'!$A$10:$A$91,0),MATCH(TAP_DCF!H$62,'Balance Sheet'!$A$11:$F$11,0))</f>
        <v>3375.4</v>
      </c>
      <c r="I67" s="172">
        <f>INDEX('Balance Sheet'!$A$10:$F$91,MATCH(TAP_DCF!$B67,'Balance Sheet'!$A$10:$A$91,0),MATCH(TAP_DCF!I$62,'Balance Sheet'!$A$11:$F$11,0))</f>
        <v>4092.6</v>
      </c>
      <c r="J67" s="173">
        <f>INDEX('Balance Sheet'!$A$10:$F$91,MATCH(TAP_DCF!$B67,'Balance Sheet'!$A$10:$A$91,0),MATCH(TAP_DCF!J$62,'Balance Sheet'!$A$11:$F$11,0))</f>
        <v>3045.2</v>
      </c>
    </row>
    <row r="68" spans="2:19" outlineLevel="1" x14ac:dyDescent="0.15">
      <c r="B68" s="41" t="s">
        <v>162</v>
      </c>
      <c r="F68" s="172">
        <f>INDEX('Balance Sheet'!$A$10:$F$91,MATCH(TAP_DCF!$B68,'Balance Sheet'!$A$10:$A$91,0),MATCH(TAP_DCF!F$62,'Balance Sheet'!$A$11:$F$11,0))</f>
        <v>1049.7</v>
      </c>
      <c r="G68" s="172">
        <f>INDEX('Balance Sheet'!$A$10:$F$91,MATCH(TAP_DCF!$B68,'Balance Sheet'!$A$10:$A$91,0),MATCH(TAP_DCF!G$62,'Balance Sheet'!$A$11:$F$11,0))</f>
        <v>571.1</v>
      </c>
      <c r="H68" s="172">
        <f>INDEX('Balance Sheet'!$A$10:$F$91,MATCH(TAP_DCF!$B68,'Balance Sheet'!$A$10:$A$91,0),MATCH(TAP_DCF!H$62,'Balance Sheet'!$A$11:$F$11,0))</f>
        <v>370.9</v>
      </c>
      <c r="I68" s="172">
        <f>INDEX('Balance Sheet'!$A$10:$F$91,MATCH(TAP_DCF!$B68,'Balance Sheet'!$A$10:$A$91,0),MATCH(TAP_DCF!I$62,'Balance Sheet'!$A$11:$F$11,0))</f>
        <v>885.1</v>
      </c>
      <c r="J68" s="173">
        <f>INDEX('Balance Sheet'!$A$10:$F$91,MATCH(TAP_DCF!$B68,'Balance Sheet'!$A$10:$A$91,0),MATCH(TAP_DCF!J$62,'Balance Sheet'!$A$11:$F$11,0))</f>
        <v>2.4</v>
      </c>
    </row>
    <row r="69" spans="2:19" outlineLevel="1" x14ac:dyDescent="0.15">
      <c r="B69" s="41" t="s">
        <v>161</v>
      </c>
      <c r="F69" s="171">
        <f>INDEX('Balance Sheet'!$A$10:$F$91,MATCH(TAP_DCF!$B69,'Balance Sheet'!$A$10:$A$91,0),MATCH(TAP_DCF!F$62,'Balance Sheet'!$A$11:$F$11,0))</f>
        <v>51.2</v>
      </c>
      <c r="G69" s="171">
        <f>INDEX('Balance Sheet'!$A$10:$F$91,MATCH(TAP_DCF!$B69,'Balance Sheet'!$A$10:$A$91,0),MATCH(TAP_DCF!G$62,'Balance Sheet'!$A$11:$F$11,0))</f>
        <v>50</v>
      </c>
      <c r="H69" s="171">
        <f>INDEX('Balance Sheet'!$A$10:$F$91,MATCH(TAP_DCF!$B69,'Balance Sheet'!$A$10:$A$91,0),MATCH(TAP_DCF!H$62,'Balance Sheet'!$A$11:$F$11,0))</f>
        <v>50</v>
      </c>
      <c r="I69" s="171">
        <f>INDEX('Balance Sheet'!$A$10:$F$91,MATCH(TAP_DCF!$B69,'Balance Sheet'!$A$10:$A$91,0),MATCH(TAP_DCF!I$62,'Balance Sheet'!$A$11:$F$11,0))</f>
        <v>52.1</v>
      </c>
      <c r="J69" s="174">
        <f>INDEX('Balance Sheet'!$A$10:$F$91,MATCH(TAP_DCF!$B69,'Balance Sheet'!$A$10:$A$91,0),MATCH(TAP_DCF!J$62,'Balance Sheet'!$A$11:$F$11,0))</f>
        <v>56.6</v>
      </c>
    </row>
    <row r="70" spans="2:19" outlineLevel="1" x14ac:dyDescent="0.15">
      <c r="B70" s="109" t="s">
        <v>320</v>
      </c>
      <c r="C70" s="109"/>
      <c r="D70" s="109"/>
      <c r="E70" s="109"/>
      <c r="F70" s="179">
        <f>F67-F68-F69</f>
        <v>2808.7</v>
      </c>
      <c r="G70" s="179">
        <f t="shared" ref="G70:J70" si="28">G67-G68-G69</f>
        <v>3001.1</v>
      </c>
      <c r="H70" s="179">
        <f t="shared" si="28"/>
        <v>2954.5</v>
      </c>
      <c r="I70" s="179">
        <f t="shared" si="28"/>
        <v>3155.4</v>
      </c>
      <c r="J70" s="180">
        <f t="shared" si="28"/>
        <v>2986.2</v>
      </c>
    </row>
    <row r="71" spans="2:19" outlineLevel="1" x14ac:dyDescent="0.15">
      <c r="F71" s="132"/>
      <c r="G71" s="132"/>
      <c r="H71" s="132"/>
      <c r="I71" s="132"/>
      <c r="J71" s="134"/>
    </row>
    <row r="72" spans="2:19" outlineLevel="1" x14ac:dyDescent="0.15">
      <c r="B72" s="70" t="s">
        <v>319</v>
      </c>
      <c r="F72" s="130">
        <f>F65-F70</f>
        <v>-1159.9999999999995</v>
      </c>
      <c r="G72" s="130">
        <f>G65-G70</f>
        <v>-859.80000000000018</v>
      </c>
      <c r="H72" s="130">
        <f>H65-H70</f>
        <v>-916.5</v>
      </c>
      <c r="I72" s="130">
        <f>I65-I70</f>
        <v>-1175.8000000000002</v>
      </c>
      <c r="J72" s="221">
        <f>J65-J70</f>
        <v>-1107.0999999999997</v>
      </c>
      <c r="K72" s="87">
        <f>K78*K14</f>
        <v>-1102.3558699999999</v>
      </c>
      <c r="L72" s="87">
        <f>L78*L14</f>
        <v>-1112.1697381794997</v>
      </c>
      <c r="M72" s="87">
        <f>M78*M14</f>
        <v>-1125.3647754909559</v>
      </c>
      <c r="N72" s="87">
        <f>N78*N14</f>
        <v>-1142.0499117866416</v>
      </c>
      <c r="O72" s="87">
        <f>O78*O14</f>
        <v>-1162.3660696004297</v>
      </c>
    </row>
    <row r="73" spans="2:19" outlineLevel="1" x14ac:dyDescent="0.15">
      <c r="B73" s="70" t="s">
        <v>318</v>
      </c>
      <c r="F73" s="217"/>
      <c r="G73" s="181">
        <f>G72-F72</f>
        <v>300.19999999999936</v>
      </c>
      <c r="H73" s="181">
        <f t="shared" ref="H73:I73" si="29">H72-G72</f>
        <v>-56.699999999999818</v>
      </c>
      <c r="I73" s="181">
        <f t="shared" si="29"/>
        <v>-259.30000000000018</v>
      </c>
      <c r="J73" s="169">
        <f>J72-I72</f>
        <v>68.7000000000005</v>
      </c>
      <c r="K73" s="181">
        <f>K72-J72</f>
        <v>4.7441299999998137</v>
      </c>
      <c r="L73" s="181">
        <f t="shared" ref="L73" si="30">L72-K72</f>
        <v>-9.8138681794998774</v>
      </c>
      <c r="M73" s="181">
        <f t="shared" ref="M73" si="31">M72-L72</f>
        <v>-13.19503731145619</v>
      </c>
      <c r="N73" s="181">
        <f t="shared" ref="N73" si="32">N72-M72</f>
        <v>-16.685136295685652</v>
      </c>
      <c r="O73" s="181">
        <f t="shared" ref="O73" si="33">O72-N72</f>
        <v>-20.316157813788095</v>
      </c>
    </row>
    <row r="74" spans="2:19" outlineLevel="1" x14ac:dyDescent="0.15">
      <c r="F74" s="132"/>
      <c r="G74" s="132"/>
      <c r="H74" s="132"/>
      <c r="I74" s="132"/>
      <c r="J74" s="134"/>
    </row>
    <row r="75" spans="2:19" outlineLevel="1" x14ac:dyDescent="0.15">
      <c r="J75" s="89"/>
    </row>
    <row r="76" spans="2:19" outlineLevel="1" x14ac:dyDescent="0.15">
      <c r="F76" s="86" t="s">
        <v>105</v>
      </c>
      <c r="G76" s="85"/>
      <c r="H76" s="85"/>
      <c r="I76" s="85"/>
      <c r="J76" s="84"/>
      <c r="K76" s="86" t="s">
        <v>317</v>
      </c>
      <c r="L76" s="85"/>
      <c r="M76" s="85"/>
      <c r="N76" s="85"/>
      <c r="O76" s="84"/>
    </row>
    <row r="77" spans="2:19" outlineLevel="1" x14ac:dyDescent="0.15">
      <c r="F77" s="83">
        <f>F62</f>
        <v>2020</v>
      </c>
      <c r="G77" s="81">
        <f t="shared" ref="G77:O77" si="34">F77+1</f>
        <v>2021</v>
      </c>
      <c r="H77" s="81">
        <f t="shared" si="34"/>
        <v>2022</v>
      </c>
      <c r="I77" s="81">
        <f t="shared" si="34"/>
        <v>2023</v>
      </c>
      <c r="J77" s="82">
        <f t="shared" si="34"/>
        <v>2024</v>
      </c>
      <c r="K77" s="81">
        <f t="shared" si="34"/>
        <v>2025</v>
      </c>
      <c r="L77" s="81">
        <f t="shared" si="34"/>
        <v>2026</v>
      </c>
      <c r="M77" s="81">
        <f t="shared" si="34"/>
        <v>2027</v>
      </c>
      <c r="N77" s="81">
        <f t="shared" si="34"/>
        <v>2028</v>
      </c>
      <c r="O77" s="81">
        <f t="shared" si="34"/>
        <v>2029</v>
      </c>
    </row>
    <row r="78" spans="2:19" outlineLevel="1" x14ac:dyDescent="0.15">
      <c r="B78" s="41" t="s">
        <v>316</v>
      </c>
      <c r="F78" s="80">
        <f>F72/F14</f>
        <v>-0.12015744769007661</v>
      </c>
      <c r="G78" s="80">
        <f>G72/G14</f>
        <v>-8.3640573168477686E-2</v>
      </c>
      <c r="H78" s="80">
        <f>H72/H14</f>
        <v>-8.56462012895991E-2</v>
      </c>
      <c r="I78" s="80">
        <f>I72/I14</f>
        <v>-0.10047769203818119</v>
      </c>
      <c r="J78" s="168">
        <f>J72/J14</f>
        <v>-9.5218027006106445E-2</v>
      </c>
      <c r="K78" s="111">
        <v>-9.5000000000000001E-2</v>
      </c>
      <c r="L78" s="80">
        <f>K78+$S$78</f>
        <v>-9.5750000000000002E-2</v>
      </c>
      <c r="M78" s="80">
        <f t="shared" ref="M78:O78" si="35">L78+$S$78</f>
        <v>-9.6500000000000002E-2</v>
      </c>
      <c r="N78" s="80">
        <f t="shared" si="35"/>
        <v>-9.7250000000000003E-2</v>
      </c>
      <c r="O78" s="80">
        <f t="shared" si="35"/>
        <v>-9.8000000000000004E-2</v>
      </c>
      <c r="Q78" s="41" t="s">
        <v>345</v>
      </c>
      <c r="R78" s="111">
        <v>-9.8000000000000004E-2</v>
      </c>
      <c r="S78" s="80">
        <f>(R78-K78)/(O77-K77)</f>
        <v>-7.5000000000000067E-4</v>
      </c>
    </row>
    <row r="79" spans="2:19" outlineLevel="1" x14ac:dyDescent="0.15"/>
    <row r="80" spans="2:19" outlineLevel="1" x14ac:dyDescent="0.15"/>
    <row r="81" spans="1:15" x14ac:dyDescent="0.15">
      <c r="A81" s="41" t="s">
        <v>272</v>
      </c>
      <c r="B81" s="53" t="s">
        <v>315</v>
      </c>
      <c r="C81" s="52"/>
      <c r="D81" s="53"/>
      <c r="E81" s="53"/>
      <c r="F81" s="52"/>
      <c r="G81" s="52"/>
      <c r="H81" s="52"/>
      <c r="I81" s="52"/>
      <c r="J81" s="52"/>
      <c r="K81" s="52"/>
      <c r="L81" s="52"/>
      <c r="M81" s="52"/>
      <c r="N81" s="52"/>
      <c r="O81" s="52"/>
    </row>
    <row r="82" spans="1:15" outlineLevel="1" x14ac:dyDescent="0.15"/>
    <row r="83" spans="1:15" outlineLevel="1" x14ac:dyDescent="0.15"/>
    <row r="84" spans="1:15" outlineLevel="1" x14ac:dyDescent="0.15">
      <c r="B84" s="103" t="s">
        <v>418</v>
      </c>
      <c r="C84" s="158">
        <v>2.563034</v>
      </c>
      <c r="E84" s="222"/>
      <c r="F84" s="79" t="s">
        <v>314</v>
      </c>
      <c r="G84" s="78"/>
      <c r="H84" s="78"/>
      <c r="I84" s="77"/>
      <c r="J84" s="222"/>
      <c r="K84" s="79" t="s">
        <v>313</v>
      </c>
      <c r="L84" s="78"/>
      <c r="M84" s="78"/>
      <c r="N84" s="77"/>
      <c r="O84" s="222"/>
    </row>
    <row r="85" spans="1:15" outlineLevel="1" x14ac:dyDescent="0.15">
      <c r="B85" s="76" t="s">
        <v>419</v>
      </c>
      <c r="C85" s="159">
        <v>190.15797699999999</v>
      </c>
      <c r="F85" s="76" t="s">
        <v>312</v>
      </c>
      <c r="I85" s="223">
        <v>192.721011</v>
      </c>
      <c r="K85" s="76" t="s">
        <v>312</v>
      </c>
      <c r="N85" s="189">
        <f>I85</f>
        <v>192.721011</v>
      </c>
    </row>
    <row r="86" spans="1:15" outlineLevel="1" x14ac:dyDescent="0.15">
      <c r="B86" s="75" t="s">
        <v>420</v>
      </c>
      <c r="C86" s="160" t="s">
        <v>421</v>
      </c>
      <c r="F86" s="76" t="s">
        <v>311</v>
      </c>
      <c r="I86" s="223">
        <v>2.1</v>
      </c>
      <c r="K86" s="76" t="s">
        <v>310</v>
      </c>
      <c r="N86" s="189">
        <f>I86</f>
        <v>2.1</v>
      </c>
    </row>
    <row r="87" spans="1:15" outlineLevel="1" x14ac:dyDescent="0.15">
      <c r="F87" s="76" t="s">
        <v>309</v>
      </c>
      <c r="I87" s="224">
        <v>59.39</v>
      </c>
      <c r="K87" s="76" t="s">
        <v>309</v>
      </c>
      <c r="N87" s="225">
        <f>I87</f>
        <v>59.39</v>
      </c>
    </row>
    <row r="88" spans="1:15" outlineLevel="1" x14ac:dyDescent="0.15">
      <c r="F88" s="76" t="s">
        <v>308</v>
      </c>
      <c r="I88" s="226">
        <f>C4</f>
        <v>44.26</v>
      </c>
      <c r="K88" s="76"/>
      <c r="N88" s="134"/>
    </row>
    <row r="89" spans="1:15" outlineLevel="1" x14ac:dyDescent="0.15">
      <c r="F89" s="76" t="s">
        <v>307</v>
      </c>
      <c r="I89" s="134">
        <f>IF(I87&lt;I88,I86,0)</f>
        <v>0</v>
      </c>
      <c r="K89" s="76"/>
      <c r="N89" s="134"/>
    </row>
    <row r="90" spans="1:15" outlineLevel="1" x14ac:dyDescent="0.15">
      <c r="F90" s="76" t="s">
        <v>306</v>
      </c>
      <c r="I90" s="227">
        <f>I89*I87</f>
        <v>0</v>
      </c>
      <c r="K90" s="76" t="s">
        <v>306</v>
      </c>
      <c r="N90" s="161">
        <f>N87*N86</f>
        <v>124.71900000000001</v>
      </c>
    </row>
    <row r="91" spans="1:15" outlineLevel="1" x14ac:dyDescent="0.15">
      <c r="F91" s="76" t="s">
        <v>305</v>
      </c>
      <c r="I91" s="134">
        <f>I90/I88</f>
        <v>0</v>
      </c>
      <c r="K91" s="76"/>
      <c r="N91" s="134"/>
    </row>
    <row r="92" spans="1:15" outlineLevel="1" x14ac:dyDescent="0.15">
      <c r="F92" s="76" t="s">
        <v>422</v>
      </c>
      <c r="I92" s="223">
        <v>2</v>
      </c>
      <c r="K92" s="76" t="s">
        <v>422</v>
      </c>
      <c r="N92" s="189">
        <f>I92</f>
        <v>2</v>
      </c>
    </row>
    <row r="93" spans="1:15" outlineLevel="1" x14ac:dyDescent="0.15">
      <c r="F93" s="76" t="s">
        <v>304</v>
      </c>
      <c r="I93" s="189">
        <f>I85+I92+I89-I91</f>
        <v>194.721011</v>
      </c>
      <c r="K93" s="76" t="s">
        <v>304</v>
      </c>
      <c r="N93" s="189">
        <f>N85+N86+N92</f>
        <v>196.821011</v>
      </c>
    </row>
    <row r="94" spans="1:15" outlineLevel="1" x14ac:dyDescent="0.15">
      <c r="F94" s="75"/>
      <c r="G94" s="74"/>
      <c r="H94" s="74"/>
      <c r="I94" s="73"/>
      <c r="K94" s="75"/>
      <c r="L94" s="74"/>
      <c r="M94" s="74"/>
      <c r="N94" s="73"/>
    </row>
    <row r="95" spans="1:15" outlineLevel="1" x14ac:dyDescent="0.15"/>
    <row r="96" spans="1:15" x14ac:dyDescent="0.15">
      <c r="A96" s="41" t="s">
        <v>272</v>
      </c>
      <c r="B96" s="53" t="s">
        <v>303</v>
      </c>
      <c r="C96" s="52"/>
      <c r="D96" s="53"/>
      <c r="E96" s="53"/>
      <c r="F96" s="52"/>
      <c r="G96" s="52"/>
      <c r="H96" s="52"/>
      <c r="I96" s="52"/>
      <c r="J96" s="52"/>
      <c r="K96" s="52"/>
      <c r="L96" s="52"/>
      <c r="M96" s="52"/>
      <c r="N96" s="52"/>
      <c r="O96" s="52"/>
    </row>
    <row r="97" spans="2:15" outlineLevel="1" x14ac:dyDescent="0.15">
      <c r="B97" s="72"/>
      <c r="C97" s="71"/>
      <c r="D97" s="72"/>
      <c r="E97" s="72"/>
      <c r="F97" s="71"/>
      <c r="G97" s="71"/>
      <c r="H97" s="71"/>
      <c r="I97" s="71"/>
      <c r="J97" s="71"/>
      <c r="K97" s="71"/>
      <c r="L97" s="71"/>
      <c r="M97" s="71"/>
      <c r="N97" s="71"/>
      <c r="O97" s="71"/>
    </row>
    <row r="98" spans="2:15" outlineLevel="1" x14ac:dyDescent="0.15">
      <c r="F98" s="70" t="s">
        <v>302</v>
      </c>
      <c r="G98" s="70"/>
    </row>
    <row r="99" spans="2:15" outlineLevel="1" x14ac:dyDescent="0.15">
      <c r="B99" s="57" t="s">
        <v>301</v>
      </c>
    </row>
    <row r="100" spans="2:15" outlineLevel="1" x14ac:dyDescent="0.15">
      <c r="B100" s="54" t="s">
        <v>300</v>
      </c>
      <c r="F100" s="144">
        <f>'Balance Sheet'!F41+'Balance Sheet'!F42+'Balance Sheet'!F46+'Balance Sheet'!F47</f>
        <v>6334.4</v>
      </c>
      <c r="G100" s="132"/>
      <c r="H100" s="132"/>
    </row>
    <row r="101" spans="2:15" outlineLevel="1" x14ac:dyDescent="0.15">
      <c r="B101" s="54" t="s">
        <v>299</v>
      </c>
      <c r="F101" s="143">
        <f>C4</f>
        <v>44.26</v>
      </c>
      <c r="G101" s="132"/>
      <c r="H101" s="132"/>
    </row>
    <row r="102" spans="2:15" outlineLevel="1" x14ac:dyDescent="0.15">
      <c r="B102" s="54" t="s">
        <v>298</v>
      </c>
      <c r="F102" s="167">
        <f>I93</f>
        <v>194.721011</v>
      </c>
      <c r="G102" s="132"/>
      <c r="H102" s="132"/>
    </row>
    <row r="103" spans="2:15" outlineLevel="1" x14ac:dyDescent="0.15">
      <c r="B103" s="54" t="s">
        <v>297</v>
      </c>
      <c r="F103" s="142">
        <f>F102*F101</f>
        <v>8618.3519468600007</v>
      </c>
      <c r="G103" s="132"/>
      <c r="H103" s="132"/>
    </row>
    <row r="104" spans="2:15" outlineLevel="1" x14ac:dyDescent="0.15">
      <c r="B104" s="132"/>
      <c r="F104" s="132"/>
      <c r="G104" s="132"/>
      <c r="H104" s="132"/>
    </row>
    <row r="105" spans="2:15" outlineLevel="1" x14ac:dyDescent="0.15">
      <c r="B105" s="54" t="s">
        <v>296</v>
      </c>
      <c r="F105" s="80">
        <f>F100/(F100+F103)</f>
        <v>0.4236277056231238</v>
      </c>
      <c r="G105" s="145"/>
      <c r="H105" s="132"/>
    </row>
    <row r="106" spans="2:15" outlineLevel="1" x14ac:dyDescent="0.15">
      <c r="B106" s="54" t="s">
        <v>295</v>
      </c>
      <c r="F106" s="80">
        <f>F103/(F103+F100)</f>
        <v>0.5763722943768762</v>
      </c>
      <c r="G106" s="145"/>
      <c r="H106" s="132"/>
    </row>
    <row r="107" spans="2:15" outlineLevel="1" x14ac:dyDescent="0.15">
      <c r="B107" s="132"/>
      <c r="F107" s="132"/>
      <c r="G107" s="132"/>
      <c r="H107" s="132"/>
    </row>
    <row r="108" spans="2:15" outlineLevel="1" x14ac:dyDescent="0.15">
      <c r="B108" s="57" t="s">
        <v>294</v>
      </c>
      <c r="F108" s="132"/>
      <c r="G108" s="132"/>
      <c r="H108" s="132"/>
    </row>
    <row r="109" spans="2:15" outlineLevel="1" x14ac:dyDescent="0.15">
      <c r="B109" s="54" t="s">
        <v>408</v>
      </c>
      <c r="F109" s="111">
        <v>1.2E-2</v>
      </c>
      <c r="G109" s="132"/>
      <c r="H109" s="132"/>
    </row>
    <row r="110" spans="2:15" outlineLevel="1" x14ac:dyDescent="0.15">
      <c r="B110" s="54" t="s">
        <v>293</v>
      </c>
      <c r="F110" s="80">
        <f>F109+F114</f>
        <v>5.3000000000000005E-2</v>
      </c>
      <c r="G110" s="132"/>
      <c r="H110" s="132"/>
    </row>
    <row r="111" spans="2:15" outlineLevel="1" x14ac:dyDescent="0.15">
      <c r="B111" s="54" t="s">
        <v>292</v>
      </c>
      <c r="F111" s="228">
        <f>C20</f>
        <v>0.25</v>
      </c>
      <c r="G111" s="132"/>
      <c r="H111" s="132"/>
    </row>
    <row r="112" spans="2:15" outlineLevel="1" x14ac:dyDescent="0.15">
      <c r="B112" s="132"/>
      <c r="F112" s="132"/>
      <c r="G112" s="132"/>
      <c r="H112" s="132"/>
      <c r="J112" s="69"/>
    </row>
    <row r="113" spans="1:15" outlineLevel="1" x14ac:dyDescent="0.15">
      <c r="B113" s="57" t="s">
        <v>289</v>
      </c>
      <c r="F113" s="132"/>
      <c r="G113" s="132"/>
      <c r="H113" s="132"/>
    </row>
    <row r="114" spans="1:15" outlineLevel="1" x14ac:dyDescent="0.15">
      <c r="B114" s="54" t="s">
        <v>291</v>
      </c>
      <c r="F114" s="111">
        <v>4.1000000000000002E-2</v>
      </c>
      <c r="G114" s="132"/>
      <c r="H114" s="132"/>
    </row>
    <row r="115" spans="1:15" outlineLevel="1" x14ac:dyDescent="0.15">
      <c r="B115" s="54" t="s">
        <v>290</v>
      </c>
      <c r="F115" s="111">
        <v>5.8099999999999999E-2</v>
      </c>
      <c r="G115" s="132"/>
      <c r="H115" s="132"/>
    </row>
    <row r="116" spans="1:15" outlineLevel="1" x14ac:dyDescent="0.15">
      <c r="B116" s="54" t="s">
        <v>276</v>
      </c>
      <c r="F116" s="229">
        <f>D137</f>
        <v>0.78574660925992268</v>
      </c>
      <c r="G116" s="132"/>
      <c r="H116" s="132"/>
    </row>
    <row r="117" spans="1:15" outlineLevel="1" x14ac:dyDescent="0.15">
      <c r="B117" s="57" t="s">
        <v>289</v>
      </c>
      <c r="F117" s="59">
        <f>F114+F115*F116</f>
        <v>8.6651877998001503E-2</v>
      </c>
      <c r="G117" s="132"/>
      <c r="H117" s="132"/>
    </row>
    <row r="118" spans="1:15" outlineLevel="1" x14ac:dyDescent="0.15">
      <c r="B118" s="132"/>
      <c r="F118" s="132"/>
      <c r="G118" s="132"/>
      <c r="H118" s="132"/>
    </row>
    <row r="119" spans="1:15" outlineLevel="1" x14ac:dyDescent="0.15">
      <c r="B119" s="57" t="s">
        <v>288</v>
      </c>
      <c r="F119" s="58">
        <f>(F105*F110*(1-F111))+(F106*F117)</f>
        <v>6.6782943032292458E-2</v>
      </c>
      <c r="G119" s="132"/>
      <c r="H119" s="132"/>
    </row>
    <row r="120" spans="1:15" outlineLevel="1" x14ac:dyDescent="0.15"/>
    <row r="121" spans="1:15" x14ac:dyDescent="0.15">
      <c r="A121" s="41" t="s">
        <v>272</v>
      </c>
      <c r="B121" s="53" t="s">
        <v>287</v>
      </c>
      <c r="C121" s="52"/>
      <c r="D121" s="53"/>
      <c r="E121" s="53"/>
      <c r="F121" s="52"/>
      <c r="G121" s="52"/>
      <c r="H121" s="52"/>
      <c r="I121" s="52"/>
      <c r="J121" s="52"/>
      <c r="K121" s="52"/>
      <c r="L121" s="52"/>
      <c r="M121" s="52"/>
      <c r="N121" s="52"/>
      <c r="O121" s="52"/>
    </row>
    <row r="122" spans="1:15" outlineLevel="1" x14ac:dyDescent="0.15">
      <c r="B122" s="54"/>
      <c r="C122" s="54"/>
      <c r="D122" s="54"/>
      <c r="E122" s="54"/>
      <c r="F122" s="54"/>
      <c r="G122" s="54"/>
      <c r="H122" s="54"/>
      <c r="I122" s="54"/>
      <c r="J122" s="54"/>
      <c r="K122" s="54"/>
      <c r="L122" s="54"/>
      <c r="M122" s="149"/>
      <c r="N122" s="47"/>
    </row>
    <row r="123" spans="1:15" outlineLevel="1" x14ac:dyDescent="0.15">
      <c r="B123" s="54"/>
      <c r="C123" s="54"/>
      <c r="D123" s="54"/>
      <c r="E123" s="54"/>
      <c r="F123" s="54"/>
      <c r="G123" s="54"/>
      <c r="H123" s="54"/>
      <c r="I123" s="54"/>
      <c r="J123" s="54"/>
      <c r="K123" s="54"/>
      <c r="L123" s="54"/>
      <c r="M123" s="150"/>
    </row>
    <row r="124" spans="1:15" outlineLevel="1" x14ac:dyDescent="0.15">
      <c r="B124" s="54"/>
      <c r="C124" s="54"/>
      <c r="D124" s="54"/>
      <c r="E124" s="68" t="s">
        <v>286</v>
      </c>
      <c r="F124" s="68" t="s">
        <v>285</v>
      </c>
      <c r="G124" s="67" t="s">
        <v>284</v>
      </c>
      <c r="H124" s="67" t="s">
        <v>283</v>
      </c>
      <c r="I124" s="67" t="s">
        <v>282</v>
      </c>
      <c r="J124" s="54"/>
      <c r="K124" s="67" t="s">
        <v>281</v>
      </c>
      <c r="M124" s="151"/>
    </row>
    <row r="125" spans="1:15" ht="15" outlineLevel="1" thickBot="1" x14ac:dyDescent="0.2">
      <c r="B125" s="66" t="s">
        <v>280</v>
      </c>
      <c r="C125" s="65" t="s">
        <v>279</v>
      </c>
      <c r="D125" s="64"/>
      <c r="E125" s="64" t="s">
        <v>277</v>
      </c>
      <c r="F125" s="64" t="s">
        <v>278</v>
      </c>
      <c r="G125" s="64" t="s">
        <v>277</v>
      </c>
      <c r="H125" s="64" t="s">
        <v>276</v>
      </c>
      <c r="I125" s="64" t="s">
        <v>276</v>
      </c>
      <c r="J125" s="54"/>
      <c r="K125" s="64" t="s">
        <v>275</v>
      </c>
      <c r="M125" s="151"/>
    </row>
    <row r="126" spans="1:15" outlineLevel="1" x14ac:dyDescent="0.15">
      <c r="B126" s="111" t="s">
        <v>409</v>
      </c>
      <c r="C126" s="111" t="s">
        <v>412</v>
      </c>
      <c r="D126" s="54"/>
      <c r="E126" s="63">
        <v>106340.9</v>
      </c>
      <c r="F126" s="63">
        <v>65492.800000000003</v>
      </c>
      <c r="G126" s="152">
        <f>F126/E126</f>
        <v>0.61587592356280607</v>
      </c>
      <c r="H126" s="153">
        <v>0.67</v>
      </c>
      <c r="I126" s="152">
        <f>H126/(1+G126*(1-K126))</f>
        <v>0.4583055052569624</v>
      </c>
      <c r="J126" s="54"/>
      <c r="K126" s="148">
        <v>0.25</v>
      </c>
      <c r="M126" s="151"/>
    </row>
    <row r="127" spans="1:15" outlineLevel="1" x14ac:dyDescent="0.15">
      <c r="B127" s="111" t="s">
        <v>410</v>
      </c>
      <c r="C127" s="111" t="s">
        <v>413</v>
      </c>
      <c r="D127" s="54"/>
      <c r="E127" s="63">
        <v>22340.5</v>
      </c>
      <c r="F127" s="63">
        <v>10544.9</v>
      </c>
      <c r="G127" s="152">
        <f t="shared" ref="G127:G130" si="36">F127/E127</f>
        <v>0.47200823616302229</v>
      </c>
      <c r="H127" s="51">
        <v>0.46</v>
      </c>
      <c r="I127" s="152">
        <f t="shared" ref="I127:I130" si="37">H127/(1+G127*(1-K127))</f>
        <v>0.3397325712188845</v>
      </c>
      <c r="J127" s="54"/>
      <c r="K127" s="147">
        <f>$K$126</f>
        <v>0.25</v>
      </c>
    </row>
    <row r="128" spans="1:15" outlineLevel="1" x14ac:dyDescent="0.15">
      <c r="B128" s="111" t="s">
        <v>268</v>
      </c>
      <c r="C128" s="111" t="s">
        <v>414</v>
      </c>
      <c r="D128" s="54"/>
      <c r="E128" s="63">
        <v>2086.1999999999998</v>
      </c>
      <c r="F128" s="63">
        <v>40.9</v>
      </c>
      <c r="G128" s="152">
        <f t="shared" si="36"/>
        <v>1.960502348768095E-2</v>
      </c>
      <c r="H128" s="51">
        <v>1.06</v>
      </c>
      <c r="I128" s="152">
        <f t="shared" si="37"/>
        <v>1.0446398582816654</v>
      </c>
      <c r="J128" s="54"/>
      <c r="K128" s="147">
        <f>$K$126</f>
        <v>0.25</v>
      </c>
    </row>
    <row r="129" spans="1:15" outlineLevel="1" x14ac:dyDescent="0.15">
      <c r="B129" s="111" t="s">
        <v>416</v>
      </c>
      <c r="C129" s="111" t="s">
        <v>417</v>
      </c>
      <c r="D129" s="54"/>
      <c r="E129" s="63">
        <v>109750.3</v>
      </c>
      <c r="F129" s="63">
        <v>74080</v>
      </c>
      <c r="G129" s="152">
        <f t="shared" si="36"/>
        <v>0.67498676541203073</v>
      </c>
      <c r="H129" s="51">
        <v>0.5</v>
      </c>
      <c r="I129" s="152">
        <f t="shared" si="37"/>
        <v>0.33195239498083307</v>
      </c>
      <c r="J129" s="54"/>
      <c r="K129" s="147">
        <f>$K$126</f>
        <v>0.25</v>
      </c>
    </row>
    <row r="130" spans="1:15" outlineLevel="1" x14ac:dyDescent="0.15">
      <c r="B130" s="111" t="s">
        <v>411</v>
      </c>
      <c r="C130" s="111" t="s">
        <v>415</v>
      </c>
      <c r="D130" s="54"/>
      <c r="E130" s="63">
        <v>38706.300000000003</v>
      </c>
      <c r="F130" s="63">
        <v>17586</v>
      </c>
      <c r="G130" s="152">
        <f t="shared" si="36"/>
        <v>0.45434464156997695</v>
      </c>
      <c r="H130" s="51">
        <v>0.48</v>
      </c>
      <c r="I130" s="152">
        <f t="shared" si="37"/>
        <v>0.35800631264957861</v>
      </c>
      <c r="J130" s="54"/>
      <c r="K130" s="147">
        <f>$K$126</f>
        <v>0.25</v>
      </c>
    </row>
    <row r="131" spans="1:15" outlineLevel="1" x14ac:dyDescent="0.15">
      <c r="B131" s="54"/>
      <c r="C131" s="54"/>
      <c r="D131" s="54"/>
      <c r="E131" s="63"/>
      <c r="F131" s="62"/>
      <c r="G131" s="61"/>
      <c r="H131" s="51"/>
      <c r="I131" s="56"/>
      <c r="J131" s="54"/>
      <c r="K131" s="147"/>
    </row>
    <row r="132" spans="1:15" outlineLevel="1" x14ac:dyDescent="0.15">
      <c r="B132" s="54"/>
      <c r="C132" s="54"/>
      <c r="D132" s="54"/>
      <c r="E132" s="54"/>
      <c r="F132" s="54"/>
      <c r="G132" s="54"/>
      <c r="H132" s="54"/>
      <c r="I132" s="54"/>
      <c r="J132" s="54"/>
      <c r="K132" s="54"/>
      <c r="L132" s="54"/>
      <c r="M132" s="54"/>
    </row>
    <row r="133" spans="1:15" outlineLevel="1" x14ac:dyDescent="0.15">
      <c r="B133" s="54" t="s">
        <v>274</v>
      </c>
      <c r="C133" s="56"/>
      <c r="D133" s="56">
        <f>AVERAGE(I126:I130)</f>
        <v>0.50652732847758486</v>
      </c>
      <c r="E133" s="54"/>
      <c r="F133" s="54"/>
      <c r="G133" s="54"/>
      <c r="H133" s="54"/>
      <c r="I133" s="56"/>
      <c r="J133" s="54"/>
      <c r="K133" s="56"/>
      <c r="L133" s="54"/>
      <c r="M133" s="54"/>
    </row>
    <row r="134" spans="1:15" outlineLevel="1" x14ac:dyDescent="0.15">
      <c r="B134" s="54" t="s">
        <v>273</v>
      </c>
      <c r="C134" s="132"/>
      <c r="D134" s="154">
        <v>0.5</v>
      </c>
      <c r="E134" s="54"/>
      <c r="F134" s="54"/>
      <c r="G134" s="54"/>
      <c r="H134" s="54"/>
      <c r="I134" s="56"/>
      <c r="J134" s="54"/>
      <c r="K134" s="56"/>
      <c r="L134" s="54"/>
      <c r="M134" s="54"/>
    </row>
    <row r="135" spans="1:15" outlineLevel="1" x14ac:dyDescent="0.15">
      <c r="B135" s="54" t="str">
        <f>C3&amp;" Debt/Equity ratio"</f>
        <v>TAP Debt/Equity ratio</v>
      </c>
      <c r="C135" s="54"/>
      <c r="D135" s="61">
        <f>F100/F103</f>
        <v>0.73498971022039394</v>
      </c>
      <c r="E135" s="54"/>
      <c r="F135" s="54"/>
      <c r="G135" s="54"/>
      <c r="H135" s="54"/>
      <c r="I135" s="60"/>
      <c r="J135" s="54"/>
      <c r="K135" s="59"/>
      <c r="L135" s="54"/>
      <c r="M135" s="54"/>
    </row>
    <row r="136" spans="1:15" outlineLevel="1" x14ac:dyDescent="0.15">
      <c r="B136" s="54" t="str">
        <f>C3&amp;" Tax Rate"</f>
        <v>TAP Tax Rate</v>
      </c>
      <c r="C136" s="59"/>
      <c r="D136" s="148">
        <v>0.25</v>
      </c>
      <c r="E136" s="54"/>
      <c r="F136" s="54"/>
      <c r="G136" s="54"/>
      <c r="H136" s="54"/>
      <c r="I136" s="58"/>
      <c r="J136" s="54"/>
      <c r="L136" s="54"/>
      <c r="M136" s="54"/>
    </row>
    <row r="137" spans="1:15" outlineLevel="1" x14ac:dyDescent="0.15">
      <c r="B137" s="57" t="str">
        <f>C3&amp;" Levered Beta"</f>
        <v>TAP Levered Beta</v>
      </c>
      <c r="C137" s="54"/>
      <c r="D137" s="61">
        <f>D133*(1+D135*(1-D136))</f>
        <v>0.78574660925992268</v>
      </c>
      <c r="E137" s="54"/>
      <c r="F137" s="54"/>
      <c r="G137" s="54"/>
      <c r="H137" s="54"/>
      <c r="I137" s="56"/>
      <c r="J137" s="54"/>
      <c r="K137" s="55"/>
      <c r="L137" s="54"/>
      <c r="M137" s="54"/>
    </row>
    <row r="138" spans="1:15" outlineLevel="1" x14ac:dyDescent="0.15"/>
    <row r="139" spans="1:15" x14ac:dyDescent="0.15">
      <c r="A139" s="41" t="s">
        <v>272</v>
      </c>
      <c r="B139" s="53" t="s">
        <v>271</v>
      </c>
      <c r="C139" s="52"/>
      <c r="D139" s="53"/>
      <c r="E139" s="53"/>
      <c r="F139" s="52"/>
      <c r="G139" s="52"/>
      <c r="H139" s="52"/>
      <c r="I139" s="52"/>
      <c r="J139" s="52"/>
      <c r="K139" s="52"/>
      <c r="L139" s="52"/>
      <c r="M139" s="52"/>
      <c r="N139" s="52"/>
      <c r="O139" s="52"/>
    </row>
    <row r="141" spans="1:15" x14ac:dyDescent="0.15">
      <c r="D141" s="42"/>
    </row>
    <row r="142" spans="1:15" x14ac:dyDescent="0.15">
      <c r="B142" s="103" t="s">
        <v>423</v>
      </c>
      <c r="C142" s="165">
        <v>5.0000000000000001E-3</v>
      </c>
      <c r="D142" s="42"/>
    </row>
    <row r="143" spans="1:15" x14ac:dyDescent="0.15">
      <c r="B143" s="75" t="s">
        <v>424</v>
      </c>
      <c r="C143" s="164">
        <v>5.0000000000000001E-3</v>
      </c>
      <c r="D143" s="42"/>
    </row>
    <row r="144" spans="1:15" x14ac:dyDescent="0.15">
      <c r="C144" s="50"/>
      <c r="D144" s="42"/>
      <c r="G144" s="51"/>
      <c r="H144" s="81" t="s">
        <v>303</v>
      </c>
    </row>
    <row r="145" spans="2:14" x14ac:dyDescent="0.15">
      <c r="C145" s="294">
        <f>H54</f>
        <v>95.112021207345052</v>
      </c>
      <c r="D145" s="80">
        <f t="shared" ref="D145:F145" si="38">E145-$C$142</f>
        <v>4.5000000000000012E-2</v>
      </c>
      <c r="E145" s="80">
        <f t="shared" si="38"/>
        <v>5.000000000000001E-2</v>
      </c>
      <c r="F145" s="80">
        <f t="shared" si="38"/>
        <v>5.5000000000000007E-2</v>
      </c>
      <c r="G145" s="80">
        <f>H145-$C$142</f>
        <v>6.0000000000000005E-2</v>
      </c>
      <c r="H145" s="166">
        <v>6.5000000000000002E-2</v>
      </c>
      <c r="I145" s="80">
        <f>H145+$C$142</f>
        <v>7.0000000000000007E-2</v>
      </c>
      <c r="J145" s="80">
        <f t="shared" ref="J145:L145" si="39">I145+$C$142</f>
        <v>7.5000000000000011E-2</v>
      </c>
      <c r="K145" s="80">
        <f t="shared" si="39"/>
        <v>8.0000000000000016E-2</v>
      </c>
      <c r="L145" s="80">
        <f t="shared" si="39"/>
        <v>8.500000000000002E-2</v>
      </c>
      <c r="M145" s="80"/>
      <c r="N145" s="80"/>
    </row>
    <row r="146" spans="2:14" x14ac:dyDescent="0.15">
      <c r="C146" s="166">
        <v>5.0000000000000001E-3</v>
      </c>
      <c r="D146" s="182">
        <f t="dataTable" ref="D146:L153" dt2D="1" dtr="1" r1="H46" r2="H44"/>
        <v>137.8208843210214</v>
      </c>
      <c r="E146" s="182">
        <v>119.13626902272735</v>
      </c>
      <c r="F146" s="182">
        <v>104.19036551141346</v>
      </c>
      <c r="G146" s="182">
        <v>91.963484627713953</v>
      </c>
      <c r="H146" s="182">
        <v>81.775834717401139</v>
      </c>
      <c r="I146" s="182">
        <v>73.156791785488096</v>
      </c>
      <c r="J146" s="182">
        <v>65.770196728486283</v>
      </c>
      <c r="K146" s="182">
        <v>59.369533674954354</v>
      </c>
      <c r="L146" s="182">
        <v>53.769916449413131</v>
      </c>
    </row>
    <row r="147" spans="2:14" x14ac:dyDescent="0.15">
      <c r="C147" s="80">
        <f>C146+$C$143</f>
        <v>0.01</v>
      </c>
      <c r="D147" s="182">
        <v>158.38236342770364</v>
      </c>
      <c r="E147" s="182">
        <v>134.82608496362224</v>
      </c>
      <c r="F147" s="182">
        <v>116.50595469694403</v>
      </c>
      <c r="G147" s="182">
        <v>101.85109615940216</v>
      </c>
      <c r="H147" s="182">
        <v>89.861861570546949</v>
      </c>
      <c r="I147" s="182">
        <v>79.871819856046912</v>
      </c>
      <c r="J147" s="182">
        <v>71.419596350901557</v>
      </c>
      <c r="K147" s="182">
        <v>64.175638345063732</v>
      </c>
      <c r="L147" s="182">
        <v>57.89827441164406</v>
      </c>
    </row>
    <row r="148" spans="2:14" x14ac:dyDescent="0.15">
      <c r="B148" s="44"/>
      <c r="C148" s="80">
        <f t="shared" ref="C148:C153" si="40">C147+$C$143</f>
        <v>1.4999999999999999E-2</v>
      </c>
      <c r="D148" s="182">
        <v>185.79766890327997</v>
      </c>
      <c r="E148" s="182">
        <v>154.9987054590585</v>
      </c>
      <c r="F148" s="182">
        <v>131.90044117885719</v>
      </c>
      <c r="G148" s="182">
        <v>113.93595469813212</v>
      </c>
      <c r="H148" s="182">
        <v>99.565093794321839</v>
      </c>
      <c r="I148" s="182">
        <v>87.80776212125275</v>
      </c>
      <c r="J148" s="182">
        <v>78.010562577052696</v>
      </c>
      <c r="K148" s="182">
        <v>69.721143733651445</v>
      </c>
      <c r="L148" s="182">
        <v>62.616397797050794</v>
      </c>
    </row>
    <row r="149" spans="2:14" x14ac:dyDescent="0.15">
      <c r="B149" s="81" t="s">
        <v>425</v>
      </c>
      <c r="C149" s="80">
        <f t="shared" si="40"/>
        <v>0.02</v>
      </c>
      <c r="D149" s="182">
        <v>224.17909656908679</v>
      </c>
      <c r="E149" s="182">
        <v>181.89553278630686</v>
      </c>
      <c r="F149" s="182">
        <v>151.6933523698884</v>
      </c>
      <c r="G149" s="182">
        <v>129.04202787154458</v>
      </c>
      <c r="H149" s="182">
        <v>111.42459984560232</v>
      </c>
      <c r="I149" s="182">
        <v>97.330892839499796</v>
      </c>
      <c r="J149" s="182">
        <v>85.799886298867705</v>
      </c>
      <c r="K149" s="182">
        <v>76.190900020337139</v>
      </c>
      <c r="L149" s="182">
        <v>68.060386318673991</v>
      </c>
    </row>
    <row r="150" spans="2:14" x14ac:dyDescent="0.15">
      <c r="C150" s="80">
        <f t="shared" si="40"/>
        <v>2.5000000000000001E-2</v>
      </c>
      <c r="D150" s="182">
        <v>281.75123806779703</v>
      </c>
      <c r="E150" s="182">
        <v>219.55109104445452</v>
      </c>
      <c r="F150" s="182">
        <v>178.08390062459662</v>
      </c>
      <c r="G150" s="182">
        <v>148.46412195164635</v>
      </c>
      <c r="H150" s="182">
        <v>126.24898240970289</v>
      </c>
      <c r="I150" s="182">
        <v>108.97027482846833</v>
      </c>
      <c r="J150" s="182">
        <v>95.147074765045673</v>
      </c>
      <c r="K150" s="182">
        <v>83.836975631874736</v>
      </c>
      <c r="L150" s="182">
        <v>74.411706260567669</v>
      </c>
    </row>
    <row r="151" spans="2:14" x14ac:dyDescent="0.15">
      <c r="C151" s="80">
        <f t="shared" si="40"/>
        <v>3.0000000000000002E-2</v>
      </c>
      <c r="D151" s="182">
        <v>377.70480723231424</v>
      </c>
      <c r="E151" s="182">
        <v>276.03442843167613</v>
      </c>
      <c r="F151" s="182">
        <v>215.03066818118825</v>
      </c>
      <c r="G151" s="182">
        <v>174.36024739178208</v>
      </c>
      <c r="H151" s="182">
        <v>145.30890284926079</v>
      </c>
      <c r="I151" s="182">
        <v>123.51950231467909</v>
      </c>
      <c r="J151" s="182">
        <v>106.57141622370767</v>
      </c>
      <c r="K151" s="182">
        <v>93.012266365719896</v>
      </c>
      <c r="L151" s="182">
        <v>81.917811646442075</v>
      </c>
    </row>
    <row r="152" spans="2:14" x14ac:dyDescent="0.15">
      <c r="C152" s="80">
        <f t="shared" si="40"/>
        <v>3.5000000000000003E-2</v>
      </c>
      <c r="D152" s="182">
        <v>569.61194556134831</v>
      </c>
      <c r="E152" s="182">
        <v>370.17332407704538</v>
      </c>
      <c r="F152" s="182">
        <v>270.45081951607563</v>
      </c>
      <c r="G152" s="182">
        <v>210.61482300797206</v>
      </c>
      <c r="H152" s="182">
        <v>170.72213010200468</v>
      </c>
      <c r="I152" s="182">
        <v>142.22565193980716</v>
      </c>
      <c r="J152" s="182">
        <v>120.85184304703515</v>
      </c>
      <c r="K152" s="182">
        <v>104.22651059597509</v>
      </c>
      <c r="L152" s="182">
        <v>90.925138109491343</v>
      </c>
    </row>
    <row r="153" spans="2:14" x14ac:dyDescent="0.15">
      <c r="C153" s="80">
        <f t="shared" si="40"/>
        <v>0.04</v>
      </c>
      <c r="D153" s="182">
        <v>1145.3333605484495</v>
      </c>
      <c r="E153" s="182">
        <v>558.45111536778347</v>
      </c>
      <c r="F153" s="182">
        <v>362.81773840755454</v>
      </c>
      <c r="G153" s="182">
        <v>264.99668643225698</v>
      </c>
      <c r="H153" s="182">
        <v>206.30064825584606</v>
      </c>
      <c r="I153" s="182">
        <v>167.16718477331125</v>
      </c>
      <c r="J153" s="182">
        <v>139.21239181988474</v>
      </c>
      <c r="K153" s="182">
        <v>118.24431588379406</v>
      </c>
      <c r="L153" s="182">
        <v>101.93409267544044</v>
      </c>
      <c r="N153" s="49"/>
    </row>
    <row r="155" spans="2:14" x14ac:dyDescent="0.15">
      <c r="C155" s="47"/>
      <c r="D155" s="47"/>
      <c r="E155" s="47"/>
      <c r="F155" s="47"/>
      <c r="G155" s="47"/>
      <c r="H155" s="47"/>
      <c r="I155" s="47"/>
      <c r="J155" s="47"/>
      <c r="K155" s="47"/>
      <c r="L155" s="47"/>
      <c r="M155" s="47"/>
    </row>
    <row r="156" spans="2:14" x14ac:dyDescent="0.15">
      <c r="B156" s="48" t="s">
        <v>632</v>
      </c>
      <c r="C156" s="49">
        <v>1</v>
      </c>
      <c r="D156" s="48"/>
      <c r="E156" s="48"/>
      <c r="F156" s="48"/>
      <c r="G156" s="49"/>
      <c r="H156" s="48"/>
      <c r="I156" s="48"/>
      <c r="J156" s="48"/>
      <c r="K156" s="48"/>
      <c r="L156" s="48"/>
      <c r="M156" s="48"/>
    </row>
    <row r="157" spans="2:14" x14ac:dyDescent="0.15">
      <c r="B157" s="317" t="s">
        <v>633</v>
      </c>
      <c r="C157" s="317"/>
      <c r="D157" s="317"/>
      <c r="E157" s="317"/>
      <c r="F157" s="317"/>
      <c r="G157" s="317"/>
      <c r="H157" s="317"/>
      <c r="I157" s="317"/>
      <c r="J157" s="317"/>
      <c r="K157" s="42"/>
      <c r="L157" s="42"/>
      <c r="M157" s="42"/>
    </row>
    <row r="158" spans="2:14" x14ac:dyDescent="0.15">
      <c r="B158" s="317"/>
      <c r="C158" s="320">
        <f t="shared" ref="C158:H158" si="41">D158-$C$156</f>
        <v>2.5999999999999996</v>
      </c>
      <c r="D158" s="320">
        <f t="shared" si="41"/>
        <v>3.5999999999999996</v>
      </c>
      <c r="E158" s="320">
        <f t="shared" si="41"/>
        <v>4.5999999999999996</v>
      </c>
      <c r="F158" s="320">
        <f t="shared" si="41"/>
        <v>5.6</v>
      </c>
      <c r="G158" s="320">
        <f t="shared" si="41"/>
        <v>6.6</v>
      </c>
      <c r="H158" s="320">
        <f t="shared" si="41"/>
        <v>7.6</v>
      </c>
      <c r="I158" s="320">
        <f>J158-$C$156</f>
        <v>8.6</v>
      </c>
      <c r="J158" s="319">
        <v>9.6</v>
      </c>
      <c r="K158" s="320">
        <f>J158+$C$156</f>
        <v>10.6</v>
      </c>
      <c r="L158" s="320">
        <f t="shared" ref="L158:M158" si="42">K158+$C$156</f>
        <v>11.6</v>
      </c>
      <c r="M158" s="320">
        <f t="shared" si="42"/>
        <v>12.6</v>
      </c>
    </row>
    <row r="159" spans="2:14" x14ac:dyDescent="0.15">
      <c r="B159" s="318">
        <f>N54</f>
        <v>85.743668227016101</v>
      </c>
      <c r="C159" s="318">
        <f t="dataTable" ref="C159:M159" dt2D="0" dtr="1" r1="N44"/>
        <v>21.551049613284231</v>
      </c>
      <c r="D159" s="318">
        <v>30.721423700960212</v>
      </c>
      <c r="E159" s="318">
        <v>39.891797788636197</v>
      </c>
      <c r="F159" s="318">
        <v>49.062171876312178</v>
      </c>
      <c r="G159" s="318">
        <v>58.232545963988159</v>
      </c>
      <c r="H159" s="318">
        <v>67.40292005166414</v>
      </c>
      <c r="I159" s="318">
        <v>76.573294139340121</v>
      </c>
      <c r="J159" s="318">
        <v>85.743668227016101</v>
      </c>
      <c r="K159" s="318">
        <v>94.914042314692097</v>
      </c>
      <c r="L159" s="318">
        <v>104.08441640236806</v>
      </c>
      <c r="M159" s="318">
        <v>113.25479049004403</v>
      </c>
    </row>
    <row r="160" spans="2:14" x14ac:dyDescent="0.15">
      <c r="L160" s="45"/>
    </row>
    <row r="161" spans="2:12" x14ac:dyDescent="0.15">
      <c r="L161" s="45"/>
    </row>
    <row r="163" spans="2:12" x14ac:dyDescent="0.15">
      <c r="D163" s="47"/>
      <c r="E163" s="47"/>
      <c r="F163" s="47"/>
      <c r="G163" s="47"/>
      <c r="H163" s="47"/>
      <c r="I163" s="47"/>
      <c r="J163" s="47"/>
      <c r="K163" s="47"/>
      <c r="L163" s="47"/>
    </row>
    <row r="164" spans="2:12" x14ac:dyDescent="0.15">
      <c r="C164" s="42"/>
      <c r="D164" s="46"/>
      <c r="E164" s="46"/>
      <c r="F164" s="46"/>
      <c r="G164" s="46"/>
      <c r="H164" s="46"/>
      <c r="I164" s="46"/>
      <c r="J164" s="46"/>
      <c r="K164" s="46"/>
      <c r="L164" s="46"/>
    </row>
    <row r="165" spans="2:12" x14ac:dyDescent="0.15">
      <c r="C165" s="45"/>
      <c r="D165" s="42"/>
      <c r="E165" s="42"/>
      <c r="F165" s="42"/>
      <c r="G165" s="42"/>
      <c r="H165" s="42"/>
      <c r="I165" s="42"/>
      <c r="J165" s="42"/>
      <c r="K165" s="42"/>
      <c r="L165" s="42"/>
    </row>
    <row r="166" spans="2:12" x14ac:dyDescent="0.15">
      <c r="C166" s="43"/>
      <c r="D166" s="42"/>
      <c r="E166" s="42"/>
      <c r="F166" s="42"/>
      <c r="G166" s="42"/>
      <c r="H166" s="42"/>
      <c r="I166" s="42"/>
      <c r="J166" s="42"/>
      <c r="K166" s="42"/>
      <c r="L166" s="42"/>
    </row>
    <row r="167" spans="2:12" x14ac:dyDescent="0.15">
      <c r="B167" s="44"/>
      <c r="C167" s="43"/>
      <c r="D167" s="42"/>
      <c r="E167" s="42"/>
      <c r="F167" s="42"/>
      <c r="G167" s="42"/>
      <c r="H167" s="42"/>
      <c r="I167" s="42"/>
      <c r="J167" s="42"/>
      <c r="K167" s="42"/>
      <c r="L167" s="42"/>
    </row>
    <row r="168" spans="2:12" x14ac:dyDescent="0.15">
      <c r="B168" s="44"/>
      <c r="C168" s="43"/>
      <c r="D168" s="42"/>
      <c r="E168" s="42"/>
      <c r="F168" s="42"/>
      <c r="G168" s="42"/>
      <c r="H168" s="42"/>
      <c r="I168" s="42"/>
      <c r="J168" s="42"/>
      <c r="K168" s="42"/>
      <c r="L168" s="42"/>
    </row>
    <row r="169" spans="2:12" x14ac:dyDescent="0.15">
      <c r="C169" s="43"/>
      <c r="D169" s="42"/>
      <c r="E169" s="42"/>
      <c r="F169" s="42"/>
      <c r="G169" s="42"/>
      <c r="H169" s="42"/>
      <c r="I169" s="42"/>
      <c r="J169" s="42"/>
      <c r="K169" s="42"/>
      <c r="L169" s="42"/>
    </row>
    <row r="170" spans="2:12" x14ac:dyDescent="0.15">
      <c r="C170" s="43"/>
      <c r="D170" s="42"/>
      <c r="E170" s="42"/>
      <c r="F170" s="42"/>
      <c r="G170" s="42"/>
      <c r="H170" s="42"/>
      <c r="I170" s="42"/>
      <c r="J170" s="42"/>
      <c r="K170" s="42"/>
      <c r="L170" s="42"/>
    </row>
    <row r="171" spans="2:12" x14ac:dyDescent="0.15">
      <c r="C171" s="43"/>
      <c r="D171" s="42"/>
      <c r="E171" s="42"/>
      <c r="F171" s="42"/>
      <c r="G171" s="42"/>
      <c r="H171" s="42"/>
      <c r="I171" s="42"/>
      <c r="J171" s="42"/>
      <c r="K171" s="42"/>
      <c r="L171" s="42"/>
    </row>
  </sheetData>
  <scenarios current="0" sqref="I50 N50 S48">
    <scenario name="Best_Case" locked="1" count="3" user="David Moore">
      <inputCells r="K32" val="0.07" numFmtId="165"/>
      <inputCells r="K33" val="0.61" numFmtId="165"/>
      <inputCells r="I44" val="0.035" numFmtId="165"/>
    </scenario>
    <scenario name="Base_case" locked="1" count="3" user="David Moore">
      <inputCells r="K32" val="0.045" numFmtId="165"/>
      <inputCells r="K33" val="0.624" numFmtId="165"/>
      <inputCells r="I44" val="0.015" numFmtId="165"/>
    </scenario>
    <scenario name="Worse_Case" locked="1" count="3" user="David Moore" comment="Created by David Moore on 10/21/2019">
      <inputCells r="K32" val="0.025" numFmtId="165"/>
      <inputCells r="K33" val="0.64" numFmtId="165"/>
      <inputCells r="I44" val="0.015" numFmtId="165"/>
    </scenario>
  </scenarios>
  <conditionalFormatting sqref="C146:C153">
    <cfRule type="colorScale" priority="5">
      <colorScale>
        <cfvo type="min"/>
        <cfvo type="percentile" val="50"/>
        <cfvo type="max"/>
        <color rgb="FF63BE7B"/>
        <color rgb="FFFFEB84"/>
        <color rgb="FFF8696B"/>
      </colorScale>
    </cfRule>
  </conditionalFormatting>
  <conditionalFormatting sqref="D145:L145">
    <cfRule type="colorScale" priority="3">
      <colorScale>
        <cfvo type="min"/>
        <cfvo type="percentile" val="50"/>
        <cfvo type="max"/>
        <color rgb="FF63BE7B"/>
        <color rgb="FFFFEB84"/>
        <color rgb="FFF8696B"/>
      </colorScale>
    </cfRule>
  </conditionalFormatting>
  <conditionalFormatting sqref="D146:L153">
    <cfRule type="colorScale" priority="1">
      <colorScale>
        <cfvo type="min"/>
        <cfvo type="percentile" val="50"/>
        <cfvo type="max"/>
        <color rgb="FF63BE7B"/>
        <color rgb="FFFFEB84"/>
        <color rgb="FFF8696B"/>
      </colorScale>
    </cfRule>
  </conditionalFormatting>
  <pageMargins left="0.7" right="0.7" top="0.75" bottom="0.75" header="0.3" footer="0.3"/>
  <pageSetup orientation="portrait" verticalDpi="9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E39BD-E8D7-9B4C-8F56-9393B7C83C68}">
  <sheetPr codeName="Sheet11"/>
  <dimension ref="B2:D12"/>
  <sheetViews>
    <sheetView zoomScaleNormal="190" workbookViewId="0">
      <selection activeCell="D11" sqref="D11"/>
    </sheetView>
  </sheetViews>
  <sheetFormatPr baseColWidth="10" defaultColWidth="8.6640625" defaultRowHeight="13" x14ac:dyDescent="0.15"/>
  <cols>
    <col min="1" max="1" width="3.33203125" style="231" customWidth="1"/>
    <col min="2" max="2" width="42.6640625" style="231" bestFit="1" customWidth="1"/>
    <col min="3" max="3" width="39.33203125" style="231" customWidth="1"/>
    <col min="4" max="4" width="21.5" style="231" customWidth="1"/>
    <col min="5" max="16384" width="8.6640625" style="231"/>
  </cols>
  <sheetData>
    <row r="2" spans="2:4" x14ac:dyDescent="0.15">
      <c r="B2" s="240" t="s">
        <v>510</v>
      </c>
      <c r="C2" s="239" t="s">
        <v>509</v>
      </c>
    </row>
    <row r="3" spans="2:4" x14ac:dyDescent="0.15">
      <c r="B3" s="238"/>
    </row>
    <row r="4" spans="2:4" ht="14" x14ac:dyDescent="0.15">
      <c r="B4" s="237" t="s">
        <v>508</v>
      </c>
      <c r="C4" s="237" t="s">
        <v>507</v>
      </c>
    </row>
    <row r="5" spans="2:4" ht="270" customHeight="1" x14ac:dyDescent="0.15">
      <c r="B5" s="236" t="s">
        <v>506</v>
      </c>
      <c r="C5" s="232" t="s">
        <v>550</v>
      </c>
    </row>
    <row r="6" spans="2:4" ht="45" x14ac:dyDescent="0.15">
      <c r="B6" s="233" t="s">
        <v>505</v>
      </c>
      <c r="C6" s="232" t="s">
        <v>551</v>
      </c>
    </row>
    <row r="7" spans="2:4" ht="14" x14ac:dyDescent="0.15">
      <c r="B7" s="233" t="s">
        <v>504</v>
      </c>
      <c r="C7" s="233" t="s">
        <v>503</v>
      </c>
    </row>
    <row r="8" spans="2:4" ht="53" customHeight="1" x14ac:dyDescent="0.15">
      <c r="B8" s="233" t="s">
        <v>502</v>
      </c>
      <c r="C8" s="232" t="s">
        <v>552</v>
      </c>
    </row>
    <row r="9" spans="2:4" ht="213" customHeight="1" x14ac:dyDescent="0.15">
      <c r="B9" s="233" t="s">
        <v>501</v>
      </c>
      <c r="C9" s="235" t="s">
        <v>555</v>
      </c>
      <c r="D9" s="234"/>
    </row>
    <row r="10" spans="2:4" ht="145" customHeight="1" x14ac:dyDescent="0.15">
      <c r="B10" s="233" t="s">
        <v>500</v>
      </c>
      <c r="C10" s="232" t="s">
        <v>553</v>
      </c>
    </row>
    <row r="11" spans="2:4" ht="39" customHeight="1" x14ac:dyDescent="0.15">
      <c r="B11" s="233" t="s">
        <v>499</v>
      </c>
      <c r="C11" s="235" t="s">
        <v>554</v>
      </c>
    </row>
    <row r="12" spans="2:4" ht="216" customHeight="1" x14ac:dyDescent="0.15">
      <c r="B12" s="233" t="s">
        <v>498</v>
      </c>
      <c r="C12" s="232" t="s">
        <v>612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5C222-6AC3-9543-868A-7BA2A683EC87}">
  <sheetPr codeName="Sheet12"/>
  <dimension ref="B1:R24"/>
  <sheetViews>
    <sheetView zoomScale="115" zoomScaleNormal="145" workbookViewId="0">
      <pane xSplit="2" ySplit="2" topLeftCell="I3" activePane="bottomRight" state="frozen"/>
      <selection activeCell="D11" sqref="D11"/>
      <selection pane="topRight" activeCell="D11" sqref="D11"/>
      <selection pane="bottomLeft" activeCell="D11" sqref="D11"/>
      <selection pane="bottomRight" activeCell="D11" sqref="D11"/>
    </sheetView>
  </sheetViews>
  <sheetFormatPr baseColWidth="10" defaultColWidth="8.6640625" defaultRowHeight="13" x14ac:dyDescent="0.15"/>
  <cols>
    <col min="1" max="1" width="3.33203125" style="231" customWidth="1"/>
    <col min="2" max="2" width="54.5" style="231" bestFit="1" customWidth="1"/>
    <col min="3" max="3" width="19.1640625" style="231" customWidth="1"/>
    <col min="4" max="4" width="46.33203125" style="231" customWidth="1"/>
    <col min="5" max="5" width="47" style="241" customWidth="1"/>
    <col min="6" max="6" width="9.6640625" style="231" bestFit="1" customWidth="1"/>
    <col min="7" max="7" width="19.83203125" style="231" bestFit="1" customWidth="1"/>
    <col min="8" max="8" width="22.1640625" style="231" bestFit="1" customWidth="1"/>
    <col min="9" max="9" width="19.33203125" style="231" bestFit="1" customWidth="1"/>
    <col min="10" max="10" width="24.5" style="231" bestFit="1" customWidth="1"/>
    <col min="11" max="11" width="33" style="231" bestFit="1" customWidth="1"/>
    <col min="12" max="12" width="27.33203125" style="231" bestFit="1" customWidth="1"/>
    <col min="13" max="13" width="24.5" style="231" bestFit="1" customWidth="1"/>
    <col min="14" max="14" width="29.6640625" style="231" bestFit="1" customWidth="1"/>
    <col min="15" max="15" width="23.5" style="231" bestFit="1" customWidth="1"/>
    <col min="16" max="16" width="22.5" style="231" bestFit="1" customWidth="1"/>
    <col min="17" max="17" width="34.83203125" style="231" bestFit="1" customWidth="1"/>
    <col min="18" max="18" width="10.83203125" style="231" bestFit="1" customWidth="1"/>
    <col min="19" max="16384" width="8.6640625" style="231"/>
  </cols>
  <sheetData>
    <row r="1" spans="2:18" ht="14" x14ac:dyDescent="0.15">
      <c r="B1" s="233"/>
      <c r="C1" s="233"/>
      <c r="D1" s="233"/>
      <c r="E1" s="244"/>
      <c r="F1" s="233"/>
      <c r="G1" s="233"/>
      <c r="H1" s="233"/>
      <c r="I1" s="233"/>
      <c r="J1" s="233"/>
      <c r="K1" s="233"/>
      <c r="L1" s="233"/>
      <c r="M1" s="233"/>
      <c r="N1" s="233"/>
      <c r="O1" s="233"/>
      <c r="P1" s="233"/>
    </row>
    <row r="2" spans="2:18" ht="14" x14ac:dyDescent="0.15">
      <c r="B2" s="247" t="s">
        <v>516</v>
      </c>
      <c r="C2" s="247" t="s">
        <v>279</v>
      </c>
      <c r="D2" s="247" t="s">
        <v>508</v>
      </c>
      <c r="E2" s="247" t="s">
        <v>517</v>
      </c>
      <c r="F2" s="247" t="s">
        <v>515</v>
      </c>
      <c r="G2" s="247" t="s">
        <v>514</v>
      </c>
      <c r="H2" s="247" t="s">
        <v>513</v>
      </c>
      <c r="I2" s="247" t="s">
        <v>512</v>
      </c>
      <c r="J2" s="247" t="s">
        <v>593</v>
      </c>
      <c r="K2" s="247" t="s">
        <v>511</v>
      </c>
      <c r="L2" s="247" t="s">
        <v>594</v>
      </c>
      <c r="M2" s="247" t="s">
        <v>595</v>
      </c>
      <c r="N2" s="247" t="s">
        <v>596</v>
      </c>
      <c r="O2" s="247" t="s">
        <v>597</v>
      </c>
      <c r="P2" s="247" t="s">
        <v>598</v>
      </c>
      <c r="Q2" s="247" t="s">
        <v>599</v>
      </c>
      <c r="R2" s="247" t="s">
        <v>600</v>
      </c>
    </row>
    <row r="3" spans="2:18" ht="14" x14ac:dyDescent="0.15">
      <c r="B3" s="301" t="s">
        <v>410</v>
      </c>
      <c r="C3" s="246" t="s">
        <v>413</v>
      </c>
      <c r="D3" s="233" t="s">
        <v>615</v>
      </c>
      <c r="E3" s="233" t="s">
        <v>577</v>
      </c>
      <c r="F3" s="233" t="s">
        <v>587</v>
      </c>
      <c r="G3" s="295">
        <v>0.51900000000000002</v>
      </c>
      <c r="H3" s="295">
        <v>0.376</v>
      </c>
      <c r="I3" s="295">
        <v>0.33100000000000002</v>
      </c>
      <c r="J3" s="296">
        <v>0.127</v>
      </c>
      <c r="K3" s="296">
        <v>-5.5599999999999997E-2</v>
      </c>
      <c r="L3" s="296">
        <v>-6.6199999999999995E-2</v>
      </c>
      <c r="M3" s="296">
        <v>-7.3999999999999996E-2</v>
      </c>
      <c r="N3" s="296">
        <v>1.1099000000000001</v>
      </c>
      <c r="O3" s="296">
        <v>0.57520000000000004</v>
      </c>
      <c r="P3" s="297">
        <v>2.9</v>
      </c>
      <c r="Q3" s="296">
        <v>-2.4899999999999999E-2</v>
      </c>
      <c r="R3" s="298">
        <v>0.46</v>
      </c>
    </row>
    <row r="4" spans="2:18" ht="14" x14ac:dyDescent="0.15">
      <c r="B4" s="302" t="s">
        <v>562</v>
      </c>
      <c r="C4" s="246" t="s">
        <v>563</v>
      </c>
      <c r="D4" s="233" t="s">
        <v>561</v>
      </c>
      <c r="E4" s="233" t="s">
        <v>578</v>
      </c>
      <c r="F4" s="233" t="s">
        <v>587</v>
      </c>
      <c r="G4" s="295">
        <v>0.59</v>
      </c>
      <c r="H4" s="295">
        <v>0.307</v>
      </c>
      <c r="I4" s="295">
        <v>0.28499999999999998</v>
      </c>
      <c r="J4" s="296">
        <v>0.21379999999999999</v>
      </c>
      <c r="K4" s="296">
        <v>-3.5000000000000003E-2</v>
      </c>
      <c r="L4" s="296">
        <v>1.2500000000000001E-2</v>
      </c>
      <c r="M4" s="296">
        <v>1.44E-2</v>
      </c>
      <c r="N4" s="296">
        <v>-0.1457</v>
      </c>
      <c r="O4" s="296">
        <v>0.40379999999999999</v>
      </c>
      <c r="P4" s="297">
        <v>2.1</v>
      </c>
      <c r="Q4" s="296">
        <v>2.0299999999999999E-2</v>
      </c>
      <c r="R4" s="298">
        <v>0.41</v>
      </c>
    </row>
    <row r="5" spans="2:18" ht="14" x14ac:dyDescent="0.15">
      <c r="B5" s="301" t="s">
        <v>564</v>
      </c>
      <c r="C5" s="246" t="s">
        <v>414</v>
      </c>
      <c r="D5" s="233" t="s">
        <v>614</v>
      </c>
      <c r="E5" s="233" t="s">
        <v>579</v>
      </c>
      <c r="F5" s="233" t="s">
        <v>587</v>
      </c>
      <c r="G5" s="295">
        <v>0.47699999999999998</v>
      </c>
      <c r="H5" s="295">
        <v>0.125</v>
      </c>
      <c r="I5" s="295">
        <v>0.08</v>
      </c>
      <c r="J5" s="296">
        <v>4.6600000000000003E-2</v>
      </c>
      <c r="K5" s="296">
        <v>-1.1299999999999999E-2</v>
      </c>
      <c r="L5" s="296">
        <v>9.1000000000000004E-3</v>
      </c>
      <c r="M5" s="296">
        <v>2.5100000000000001E-2</v>
      </c>
      <c r="N5" s="296">
        <v>0.1484</v>
      </c>
      <c r="O5" s="296">
        <v>4.2999999999999997E-2</v>
      </c>
      <c r="P5" s="297">
        <v>0.2</v>
      </c>
      <c r="Q5" s="296">
        <v>0.121</v>
      </c>
      <c r="R5" s="298">
        <v>1.06</v>
      </c>
    </row>
    <row r="6" spans="2:18" ht="15" customHeight="1" x14ac:dyDescent="0.15">
      <c r="B6" s="302" t="s">
        <v>571</v>
      </c>
      <c r="C6" s="246" t="s">
        <v>565</v>
      </c>
      <c r="D6" s="233" t="s">
        <v>561</v>
      </c>
      <c r="E6" s="233" t="s">
        <v>580</v>
      </c>
      <c r="F6" s="233" t="s">
        <v>587</v>
      </c>
      <c r="G6" s="295">
        <v>0.61599999999999999</v>
      </c>
      <c r="H6" s="295">
        <v>0.34200000000000003</v>
      </c>
      <c r="I6" s="295">
        <v>0.31900000000000001</v>
      </c>
      <c r="J6" s="296">
        <v>0.27339999999999998</v>
      </c>
      <c r="K6" s="296">
        <v>2.8000000000000001E-2</v>
      </c>
      <c r="L6" s="296">
        <v>0.1139</v>
      </c>
      <c r="M6" s="296">
        <v>0.12139999999999999</v>
      </c>
      <c r="N6" s="296">
        <v>0.25190000000000001</v>
      </c>
      <c r="O6" s="296">
        <v>0.59150000000000003</v>
      </c>
      <c r="P6" s="297">
        <v>2.9</v>
      </c>
      <c r="Q6" s="296">
        <v>6.5600000000000006E-2</v>
      </c>
      <c r="R6" s="298">
        <v>0.4</v>
      </c>
    </row>
    <row r="7" spans="2:18" ht="15" customHeight="1" x14ac:dyDescent="0.15">
      <c r="B7" s="301" t="s">
        <v>416</v>
      </c>
      <c r="C7" s="246" t="s">
        <v>417</v>
      </c>
      <c r="D7" s="233" t="s">
        <v>621</v>
      </c>
      <c r="E7" s="233" t="s">
        <v>581</v>
      </c>
      <c r="F7" s="233" t="s">
        <v>588</v>
      </c>
      <c r="G7" s="295">
        <v>0.45800000000000002</v>
      </c>
      <c r="H7" s="295">
        <v>0.191</v>
      </c>
      <c r="I7" s="295">
        <v>0.14000000000000001</v>
      </c>
      <c r="J7" s="296">
        <v>0.1089</v>
      </c>
      <c r="K7" s="296">
        <v>0.1</v>
      </c>
      <c r="L7" s="296">
        <v>0.1106</v>
      </c>
      <c r="M7" s="296">
        <v>0.106</v>
      </c>
      <c r="N7" s="299" t="s">
        <v>4</v>
      </c>
      <c r="O7" s="296">
        <v>0.72740000000000005</v>
      </c>
      <c r="P7" s="297">
        <v>4.5999999999999996</v>
      </c>
      <c r="Q7" s="296">
        <v>9.6600000000000005E-2</v>
      </c>
      <c r="R7" s="298">
        <v>0.5</v>
      </c>
    </row>
    <row r="8" spans="2:18" ht="15" customHeight="1" x14ac:dyDescent="0.15">
      <c r="B8" s="302" t="s">
        <v>572</v>
      </c>
      <c r="C8" s="246" t="s">
        <v>566</v>
      </c>
      <c r="D8" s="233" t="s">
        <v>561</v>
      </c>
      <c r="E8" s="233" t="s">
        <v>582</v>
      </c>
      <c r="F8" s="233" t="s">
        <v>589</v>
      </c>
      <c r="G8" s="295">
        <v>0.46700000000000003</v>
      </c>
      <c r="H8" s="295">
        <v>0.129</v>
      </c>
      <c r="I8" s="295">
        <v>8.6999999999999994E-2</v>
      </c>
      <c r="J8" s="296">
        <v>3.4099999999999998E-2</v>
      </c>
      <c r="K8" s="296">
        <v>4.7500000000000001E-2</v>
      </c>
      <c r="L8" s="296">
        <v>5.11E-2</v>
      </c>
      <c r="M8" s="296">
        <v>3.0099999999999998E-2</v>
      </c>
      <c r="N8" s="296">
        <v>-0.2432</v>
      </c>
      <c r="O8" s="296">
        <v>0.40129999999999999</v>
      </c>
      <c r="P8" s="297">
        <v>3.2</v>
      </c>
      <c r="Q8" s="296">
        <v>0.26540000000000002</v>
      </c>
      <c r="R8" s="298">
        <v>-0.04</v>
      </c>
    </row>
    <row r="9" spans="2:18" ht="15" customHeight="1" x14ac:dyDescent="0.15">
      <c r="B9" s="302" t="s">
        <v>573</v>
      </c>
      <c r="C9" s="246" t="s">
        <v>567</v>
      </c>
      <c r="D9" s="233" t="s">
        <v>561</v>
      </c>
      <c r="E9" s="233" t="s">
        <v>583</v>
      </c>
      <c r="F9" s="233" t="s">
        <v>590</v>
      </c>
      <c r="G9" s="295">
        <v>0.51800000000000002</v>
      </c>
      <c r="H9" s="295">
        <v>0.29699999999999999</v>
      </c>
      <c r="I9" s="295">
        <v>0.254</v>
      </c>
      <c r="J9" s="296">
        <v>0.17730000000000001</v>
      </c>
      <c r="K9" s="296">
        <v>9.7900000000000001E-2</v>
      </c>
      <c r="L9" s="296">
        <v>9.4500000000000001E-2</v>
      </c>
      <c r="M9" s="296">
        <v>0.1641</v>
      </c>
      <c r="N9" s="296">
        <v>0.15010000000000001</v>
      </c>
      <c r="O9" s="296">
        <v>3.0300000000000001E-2</v>
      </c>
      <c r="P9" s="297">
        <v>0.1</v>
      </c>
      <c r="Q9" s="296">
        <v>6.1400000000000003E-2</v>
      </c>
      <c r="R9" s="298">
        <v>0.27</v>
      </c>
    </row>
    <row r="10" spans="2:18" ht="15" customHeight="1" x14ac:dyDescent="0.15">
      <c r="B10" s="301" t="s">
        <v>574</v>
      </c>
      <c r="C10" s="246" t="s">
        <v>568</v>
      </c>
      <c r="D10" s="233" t="s">
        <v>561</v>
      </c>
      <c r="E10" s="233" t="s">
        <v>584</v>
      </c>
      <c r="F10" s="233" t="s">
        <v>589</v>
      </c>
      <c r="G10" s="295">
        <v>0.373</v>
      </c>
      <c r="H10" s="295">
        <v>0.13900000000000001</v>
      </c>
      <c r="I10" s="295">
        <v>8.5000000000000006E-2</v>
      </c>
      <c r="J10" s="296">
        <v>5.9700000000000003E-2</v>
      </c>
      <c r="K10" s="296">
        <v>8.6E-3</v>
      </c>
      <c r="L10" s="296">
        <v>-2.1899999999999999E-2</v>
      </c>
      <c r="M10" s="296">
        <v>-3.9100000000000003E-2</v>
      </c>
      <c r="N10" s="296">
        <v>-1.1999999999999999E-3</v>
      </c>
      <c r="O10" s="296">
        <v>0.35110000000000002</v>
      </c>
      <c r="P10" s="297">
        <v>3.6</v>
      </c>
      <c r="Q10" s="296">
        <v>0.10199999999999999</v>
      </c>
      <c r="R10" s="298">
        <v>0.2</v>
      </c>
    </row>
    <row r="11" spans="2:18" ht="15" customHeight="1" x14ac:dyDescent="0.15">
      <c r="B11" s="302" t="s">
        <v>575</v>
      </c>
      <c r="C11" s="246" t="s">
        <v>569</v>
      </c>
      <c r="D11" s="233" t="s">
        <v>561</v>
      </c>
      <c r="E11" s="233" t="s">
        <v>585</v>
      </c>
      <c r="F11" s="233" t="s">
        <v>591</v>
      </c>
      <c r="G11" s="295">
        <v>0.41699999999999998</v>
      </c>
      <c r="H11" s="295">
        <v>0.188</v>
      </c>
      <c r="I11" s="295">
        <v>0.155</v>
      </c>
      <c r="J11" s="296">
        <v>0.14219999999999999</v>
      </c>
      <c r="K11" s="296">
        <v>1.9699999999999999E-2</v>
      </c>
      <c r="L11" s="296">
        <v>0.1037</v>
      </c>
      <c r="M11" s="296">
        <v>0.12379999999999999</v>
      </c>
      <c r="N11" s="296">
        <v>6.4199999999999993E-2</v>
      </c>
      <c r="O11" s="296">
        <v>3.5000000000000001E-3</v>
      </c>
      <c r="P11" s="297">
        <v>0</v>
      </c>
      <c r="Q11" s="296">
        <v>5.91E-2</v>
      </c>
      <c r="R11" s="298">
        <v>0.73</v>
      </c>
    </row>
    <row r="12" spans="2:18" ht="15" customHeight="1" x14ac:dyDescent="0.15">
      <c r="B12" s="302" t="s">
        <v>576</v>
      </c>
      <c r="C12" s="246" t="s">
        <v>570</v>
      </c>
      <c r="D12" s="233" t="s">
        <v>561</v>
      </c>
      <c r="E12" s="233" t="s">
        <v>586</v>
      </c>
      <c r="F12" s="233" t="s">
        <v>592</v>
      </c>
      <c r="G12" s="295">
        <v>0.439</v>
      </c>
      <c r="H12" s="295">
        <v>0.20100000000000001</v>
      </c>
      <c r="I12" s="295">
        <v>0.14299999999999999</v>
      </c>
      <c r="J12" s="296">
        <v>0.14990000000000001</v>
      </c>
      <c r="K12" s="296">
        <v>6.9999999999999999E-4</v>
      </c>
      <c r="L12" s="296">
        <v>0.1318</v>
      </c>
      <c r="M12" s="296">
        <v>0.16370000000000001</v>
      </c>
      <c r="N12" s="296">
        <v>0.1179</v>
      </c>
      <c r="O12" s="296">
        <v>2.8299999999999999E-2</v>
      </c>
      <c r="P12" s="297">
        <v>0.1</v>
      </c>
      <c r="Q12" s="296">
        <v>0.1085</v>
      </c>
      <c r="R12" s="298">
        <v>0.52</v>
      </c>
    </row>
    <row r="13" spans="2:18" ht="15" customHeight="1" x14ac:dyDescent="0.15">
      <c r="B13" s="302" t="s">
        <v>610</v>
      </c>
      <c r="C13" s="246" t="s">
        <v>604</v>
      </c>
      <c r="D13" s="233" t="s">
        <v>613</v>
      </c>
      <c r="E13" s="300" t="s">
        <v>618</v>
      </c>
      <c r="F13" s="233" t="s">
        <v>607</v>
      </c>
      <c r="G13" s="295">
        <v>0.45</v>
      </c>
      <c r="H13" s="295">
        <v>0.123</v>
      </c>
      <c r="I13" s="295">
        <v>8.1000000000000003E-2</v>
      </c>
      <c r="J13" s="296">
        <v>4.4999999999999998E-2</v>
      </c>
      <c r="K13" s="296">
        <v>0.20530000000000001</v>
      </c>
      <c r="L13" s="296">
        <v>0.34239999999999998</v>
      </c>
      <c r="M13" s="296">
        <v>0.4919</v>
      </c>
      <c r="N13" s="296">
        <v>5.9799999999999999E-2</v>
      </c>
      <c r="O13" s="296">
        <v>0.4415</v>
      </c>
      <c r="P13" s="297">
        <v>3.3</v>
      </c>
      <c r="Q13" s="296">
        <v>0.10100000000000001</v>
      </c>
      <c r="R13" s="298">
        <v>0.2</v>
      </c>
    </row>
    <row r="14" spans="2:18" ht="15" customHeight="1" x14ac:dyDescent="0.15">
      <c r="B14" s="301" t="s">
        <v>409</v>
      </c>
      <c r="C14" s="246" t="s">
        <v>605</v>
      </c>
      <c r="D14" s="233" t="s">
        <v>617</v>
      </c>
      <c r="E14" s="245" t="s">
        <v>619</v>
      </c>
      <c r="F14" s="233" t="s">
        <v>608</v>
      </c>
      <c r="G14" s="295">
        <v>0.55900000000000005</v>
      </c>
      <c r="H14" s="295">
        <v>0.32300000000000001</v>
      </c>
      <c r="I14" s="295">
        <v>0.26300000000000001</v>
      </c>
      <c r="J14" s="296">
        <v>0.1041</v>
      </c>
      <c r="K14" s="296">
        <v>-1.34E-2</v>
      </c>
      <c r="L14" s="296">
        <v>2.6499999999999999E-2</v>
      </c>
      <c r="M14" s="296">
        <v>3.3300000000000003E-2</v>
      </c>
      <c r="N14" s="296">
        <v>-6.5600000000000006E-2</v>
      </c>
      <c r="O14" s="296">
        <v>0.45340000000000003</v>
      </c>
      <c r="P14" s="297">
        <v>3.9</v>
      </c>
      <c r="Q14" s="296">
        <v>8.5900000000000004E-2</v>
      </c>
      <c r="R14" s="298">
        <v>0.67</v>
      </c>
    </row>
    <row r="15" spans="2:18" ht="15" customHeight="1" x14ac:dyDescent="0.15">
      <c r="B15" s="301" t="s">
        <v>611</v>
      </c>
      <c r="C15" s="246" t="s">
        <v>606</v>
      </c>
      <c r="D15" s="233" t="s">
        <v>616</v>
      </c>
      <c r="E15" s="245" t="s">
        <v>620</v>
      </c>
      <c r="F15" s="233" t="s">
        <v>609</v>
      </c>
      <c r="G15" s="295">
        <v>0.36499999999999999</v>
      </c>
      <c r="H15" s="295">
        <v>0.2</v>
      </c>
      <c r="I15" s="295">
        <v>0.13600000000000001</v>
      </c>
      <c r="J15" s="296">
        <v>3.1699999999999999E-2</v>
      </c>
      <c r="K15" s="296">
        <v>-4.8399999999999999E-2</v>
      </c>
      <c r="L15" s="296">
        <v>2.4199999999999999E-2</v>
      </c>
      <c r="M15" s="296">
        <v>1.5599999999999999E-2</v>
      </c>
      <c r="N15" s="296">
        <v>0.72440000000000004</v>
      </c>
      <c r="O15" s="296">
        <v>0.46889999999999998</v>
      </c>
      <c r="P15" s="297">
        <v>2.9</v>
      </c>
      <c r="Q15" s="299" t="s">
        <v>4</v>
      </c>
      <c r="R15" s="298">
        <v>0.52</v>
      </c>
    </row>
    <row r="16" spans="2:18" ht="15" customHeight="1" x14ac:dyDescent="0.15">
      <c r="B16" s="243"/>
      <c r="C16" s="246"/>
      <c r="D16" s="233"/>
      <c r="E16" s="245"/>
      <c r="F16" s="233"/>
      <c r="G16" s="242"/>
      <c r="H16" s="242"/>
      <c r="I16" s="242"/>
      <c r="J16" s="242"/>
      <c r="K16" s="242"/>
      <c r="L16" s="242"/>
      <c r="M16" s="242"/>
      <c r="N16" s="242"/>
      <c r="O16" s="242"/>
      <c r="P16" s="242"/>
    </row>
    <row r="17" spans="2:18" ht="15" customHeight="1" x14ac:dyDescent="0.15">
      <c r="B17" s="243" t="s">
        <v>601</v>
      </c>
      <c r="C17" s="246" t="s">
        <v>357</v>
      </c>
      <c r="D17" s="233" t="s">
        <v>603</v>
      </c>
      <c r="E17" s="300" t="s">
        <v>602</v>
      </c>
      <c r="F17" s="233" t="s">
        <v>587</v>
      </c>
      <c r="G17" s="243">
        <v>0.38700000000000001</v>
      </c>
      <c r="H17" s="243">
        <v>0.215</v>
      </c>
      <c r="I17" s="243">
        <v>0.156</v>
      </c>
      <c r="J17" s="243">
        <v>-0.18640000000000001</v>
      </c>
      <c r="K17" s="243">
        <v>-4.0099999999999997E-2</v>
      </c>
      <c r="L17" s="243">
        <v>-3.0000000000000001E-3</v>
      </c>
      <c r="M17" s="243">
        <v>7.6E-3</v>
      </c>
      <c r="N17" s="243" t="s">
        <v>4</v>
      </c>
      <c r="O17" s="243">
        <v>0.37890000000000001</v>
      </c>
      <c r="P17" s="243">
        <v>2.6</v>
      </c>
      <c r="Q17" s="243">
        <v>-2.1600000000000001E-2</v>
      </c>
      <c r="R17" s="243">
        <v>0.45</v>
      </c>
    </row>
    <row r="18" spans="2:18" ht="15" customHeight="1" x14ac:dyDescent="0.15">
      <c r="B18" s="243"/>
      <c r="C18" s="246"/>
      <c r="D18" s="233"/>
      <c r="E18" s="245"/>
      <c r="F18" s="233"/>
      <c r="G18" s="242"/>
      <c r="H18" s="242"/>
      <c r="I18" s="242"/>
      <c r="J18" s="242"/>
      <c r="K18" s="242"/>
      <c r="L18" s="242"/>
      <c r="M18" s="242"/>
      <c r="N18" s="242"/>
      <c r="O18" s="242"/>
      <c r="P18" s="242"/>
    </row>
    <row r="19" spans="2:18" ht="15" customHeight="1" x14ac:dyDescent="0.15">
      <c r="B19" s="243"/>
      <c r="C19" s="246"/>
      <c r="D19" s="233"/>
      <c r="E19" s="245"/>
      <c r="F19" s="233"/>
      <c r="G19" s="242"/>
      <c r="H19" s="242"/>
      <c r="I19" s="242"/>
      <c r="J19" s="242"/>
      <c r="K19" s="242"/>
      <c r="L19" s="242"/>
      <c r="M19" s="242"/>
      <c r="N19" s="242"/>
      <c r="O19" s="242"/>
      <c r="P19" s="242"/>
    </row>
    <row r="20" spans="2:18" ht="15" customHeight="1" x14ac:dyDescent="0.15">
      <c r="B20" s="243"/>
      <c r="C20" s="246"/>
      <c r="D20" s="233"/>
      <c r="E20" s="245"/>
      <c r="F20" s="233"/>
      <c r="G20" s="242"/>
      <c r="H20" s="242"/>
      <c r="I20" s="242"/>
      <c r="J20" s="242"/>
      <c r="K20" s="242"/>
      <c r="L20" s="242"/>
      <c r="M20" s="242"/>
      <c r="N20" s="242"/>
      <c r="O20" s="242"/>
      <c r="P20" s="242"/>
    </row>
    <row r="21" spans="2:18" ht="15" customHeight="1" x14ac:dyDescent="0.15">
      <c r="B21" s="243"/>
      <c r="C21" s="246"/>
      <c r="D21" s="233"/>
      <c r="E21" s="245"/>
      <c r="F21" s="233"/>
      <c r="G21" s="242"/>
      <c r="H21" s="242"/>
      <c r="I21" s="242"/>
      <c r="J21" s="242"/>
      <c r="K21" s="242"/>
      <c r="L21" s="242"/>
      <c r="M21" s="242"/>
      <c r="N21" s="242"/>
      <c r="O21" s="242"/>
      <c r="P21" s="242"/>
    </row>
    <row r="22" spans="2:18" ht="14" x14ac:dyDescent="0.15">
      <c r="B22" s="233"/>
      <c r="C22" s="233"/>
      <c r="D22" s="233"/>
      <c r="E22" s="233"/>
      <c r="F22" s="233"/>
      <c r="G22" s="243"/>
      <c r="H22" s="243"/>
      <c r="I22" s="243"/>
      <c r="J22" s="243"/>
      <c r="K22" s="243"/>
      <c r="L22" s="243"/>
      <c r="M22" s="243"/>
      <c r="N22" s="243"/>
      <c r="O22" s="243"/>
      <c r="P22" s="243"/>
    </row>
    <row r="23" spans="2:18" ht="14" x14ac:dyDescent="0.15">
      <c r="B23" s="233"/>
      <c r="C23" s="233"/>
      <c r="D23" s="233"/>
      <c r="E23" s="245"/>
      <c r="F23" s="233"/>
      <c r="G23" s="242"/>
      <c r="H23" s="242"/>
      <c r="I23" s="242"/>
      <c r="J23" s="242"/>
      <c r="K23" s="242"/>
      <c r="L23" s="242"/>
      <c r="M23" s="242"/>
      <c r="N23" s="242"/>
      <c r="O23" s="242"/>
      <c r="P23" s="242"/>
    </row>
    <row r="24" spans="2:18" ht="14" x14ac:dyDescent="0.15">
      <c r="B24" s="233"/>
      <c r="C24" s="233"/>
      <c r="D24" s="233"/>
      <c r="E24" s="244"/>
      <c r="F24" s="233"/>
      <c r="G24" s="243"/>
      <c r="H24" s="243"/>
      <c r="I24" s="243"/>
      <c r="J24" s="243"/>
      <c r="K24" s="243"/>
      <c r="L24" s="243"/>
      <c r="M24" s="243"/>
      <c r="N24" s="243"/>
      <c r="O24" s="242"/>
      <c r="P24" s="242"/>
    </row>
  </sheetData>
  <conditionalFormatting sqref="G3:G16 G18:G21">
    <cfRule type="colorScale" priority="11">
      <colorScale>
        <cfvo type="formula" val="$G$23-STDEV($G$3:$G$21)"/>
        <cfvo type="num" val="$G$23"/>
        <cfvo type="formula" val="$G$23+STDEV($G$3:$G$21)"/>
        <color rgb="FFFF6D6D"/>
        <color rgb="FF00B050"/>
        <color rgb="FFFF6D6D"/>
      </colorScale>
    </cfRule>
  </conditionalFormatting>
  <conditionalFormatting sqref="H3:H16 H18:H21">
    <cfRule type="colorScale" priority="13">
      <colorScale>
        <cfvo type="formula" val="$H$23-STDEV($H$3:$H$21)"/>
        <cfvo type="num" val="$H$23"/>
        <cfvo type="formula" val="$H$23+STDEV($H$3:$H$21)"/>
        <color rgb="FFFF6D6D"/>
        <color rgb="FF00B050"/>
        <color rgb="FFFF6D6D"/>
      </colorScale>
    </cfRule>
  </conditionalFormatting>
  <conditionalFormatting sqref="I3:I16 I18:I21">
    <cfRule type="colorScale" priority="15">
      <colorScale>
        <cfvo type="formula" val="$I$23-STDEV($I$3:$I$21)"/>
        <cfvo type="num" val="$I$23"/>
        <cfvo type="formula" val="$I$23+STDEV($I$3:$I$21)"/>
        <color rgb="FFFF6D6D"/>
        <color rgb="FF00B050"/>
        <color rgb="FFFF6D6D"/>
      </colorScale>
    </cfRule>
  </conditionalFormatting>
  <conditionalFormatting sqref="J3:J16 J18:J21">
    <cfRule type="colorScale" priority="17">
      <colorScale>
        <cfvo type="formula" val="$J$23-STDEV($J$3:$J$21)"/>
        <cfvo type="num" val="$J$23"/>
        <cfvo type="formula" val="$J$23+STDEV($J$3:$J$21)"/>
        <color rgb="FFFF6D6D"/>
        <color rgb="FF00B050"/>
        <color rgb="FFFF6D6D"/>
      </colorScale>
    </cfRule>
  </conditionalFormatting>
  <conditionalFormatting sqref="K3:K16 K18:K21">
    <cfRule type="colorScale" priority="19">
      <colorScale>
        <cfvo type="formula" val="$K$23-STDEV($K$3:$K$21)"/>
        <cfvo type="num" val="$K$23"/>
        <cfvo type="formula" val="$K$23+STDEV($K$3:$K$21)"/>
        <color rgb="FFFF6D6D"/>
        <color rgb="FF00B050"/>
        <color rgb="FFFF6D6D"/>
      </colorScale>
    </cfRule>
  </conditionalFormatting>
  <conditionalFormatting sqref="L3:L16 L18:L21">
    <cfRule type="colorScale" priority="21">
      <colorScale>
        <cfvo type="formula" val="$L$23-STDEV($L$3:$L$21)"/>
        <cfvo type="num" val="$L$23"/>
        <cfvo type="formula" val="$L$23+STDEV($L$3:$L$21)"/>
        <color rgb="FFFF6D6D"/>
        <color rgb="FF00B050"/>
        <color rgb="FFFF6D6D"/>
      </colorScale>
    </cfRule>
  </conditionalFormatting>
  <conditionalFormatting sqref="M3:M16 M18:M21">
    <cfRule type="colorScale" priority="23">
      <colorScale>
        <cfvo type="formula" val="$M$23-STDEV($M$3:$M$21)"/>
        <cfvo type="num" val="$M$23"/>
        <cfvo type="formula" val="$M$23+STDEV($M$3:$M$21)"/>
        <color rgb="FFFF6D6D"/>
        <color rgb="FF00B050"/>
        <color rgb="FFFF6D6D"/>
      </colorScale>
    </cfRule>
  </conditionalFormatting>
  <conditionalFormatting sqref="N3:N16 N18:N21">
    <cfRule type="colorScale" priority="25">
      <colorScale>
        <cfvo type="formula" val="$N$23-STDEV($N$3:$N$21)"/>
        <cfvo type="num" val="$N$23"/>
        <cfvo type="formula" val="$N$23+STDEV($N$3:$N$21)"/>
        <color rgb="FFFF6D6D"/>
        <color rgb="FF00B050"/>
        <color rgb="FFFF6D6D"/>
      </colorScale>
    </cfRule>
  </conditionalFormatting>
  <conditionalFormatting sqref="O3:O16 O18:O21">
    <cfRule type="colorScale" priority="27">
      <colorScale>
        <cfvo type="formula" val="$O$23-STDEV($O$3:$O$21)"/>
        <cfvo type="num" val="$O$23"/>
        <cfvo type="formula" val="$O$23+STDEV($O$3:$O$21)"/>
        <color rgb="FFFF6D6D"/>
        <color rgb="FF00B050"/>
        <color rgb="FFFF6D6D"/>
      </colorScale>
    </cfRule>
  </conditionalFormatting>
  <conditionalFormatting sqref="P3:P16 P18:P21">
    <cfRule type="colorScale" priority="29">
      <colorScale>
        <cfvo type="formula" val="$P$23-STDEV($P$3:$P$21)"/>
        <cfvo type="num" val="$P$23"/>
        <cfvo type="formula" val="$P$23+STDEV($P$3:$P$21)"/>
        <color rgb="FFFF6D6D"/>
        <color rgb="FF00B050"/>
        <color rgb="FFFF6D6D"/>
      </colorScale>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E577E-C1BB-EA49-B842-BDA3F5793C5A}">
  <sheetPr codeName="Sheet1"/>
  <dimension ref="B2:P47"/>
  <sheetViews>
    <sheetView showGridLines="0" zoomScale="85" zoomScaleNormal="100" workbookViewId="0">
      <selection activeCell="D11" sqref="D11"/>
    </sheetView>
  </sheetViews>
  <sheetFormatPr baseColWidth="10" defaultColWidth="9.33203125" defaultRowHeight="15" outlineLevelCol="1" x14ac:dyDescent="0.2"/>
  <cols>
    <col min="1" max="1" width="3.33203125" style="248" customWidth="1"/>
    <col min="2" max="2" width="33.6640625" style="248" customWidth="1"/>
    <col min="3" max="3" width="11.6640625" style="248" customWidth="1"/>
    <col min="4" max="4" width="11.5" style="248" bestFit="1" customWidth="1"/>
    <col min="5" max="5" width="14.6640625" style="248" bestFit="1" customWidth="1"/>
    <col min="6" max="6" width="14.5" style="248" bestFit="1" customWidth="1"/>
    <col min="7" max="7" width="15.33203125" style="248" bestFit="1" customWidth="1"/>
    <col min="8" max="9" width="11.5" style="248" customWidth="1"/>
    <col min="10" max="10" width="13.5" style="248" customWidth="1"/>
    <col min="11" max="11" width="9.33203125" style="248" customWidth="1" outlineLevel="1"/>
    <col min="12" max="12" width="13.1640625" style="248" customWidth="1" outlineLevel="1"/>
    <col min="13" max="13" width="12.5" style="248" customWidth="1" outlineLevel="1"/>
    <col min="14" max="14" width="15.83203125" style="248" customWidth="1"/>
    <col min="15" max="15" width="9.33203125" style="248"/>
    <col min="16" max="16" width="17.33203125" style="248" customWidth="1"/>
    <col min="17" max="16384" width="9.33203125" style="248"/>
  </cols>
  <sheetData>
    <row r="2" spans="2:16" ht="25" x14ac:dyDescent="0.25">
      <c r="B2" s="290" t="s">
        <v>623</v>
      </c>
      <c r="C2" s="290"/>
      <c r="D2" s="252"/>
      <c r="E2" s="252"/>
      <c r="F2" s="252"/>
      <c r="G2" s="252"/>
      <c r="H2" s="252"/>
      <c r="I2" s="252"/>
      <c r="J2" s="252"/>
      <c r="K2" s="252"/>
      <c r="L2" s="252"/>
    </row>
    <row r="3" spans="2:16" x14ac:dyDescent="0.2">
      <c r="B3" s="289" t="s">
        <v>427</v>
      </c>
      <c r="C3" s="289"/>
      <c r="D3" s="252"/>
      <c r="E3" s="252"/>
      <c r="F3" s="252"/>
      <c r="G3" s="252"/>
      <c r="H3" s="252"/>
      <c r="I3" s="252"/>
      <c r="J3" s="252"/>
      <c r="K3" s="252"/>
      <c r="L3" s="252"/>
    </row>
    <row r="4" spans="2:16" x14ac:dyDescent="0.2">
      <c r="B4" s="288" t="s">
        <v>549</v>
      </c>
      <c r="C4" s="287">
        <v>46022</v>
      </c>
      <c r="D4" s="279"/>
      <c r="E4" s="279"/>
      <c r="F4" s="279"/>
      <c r="G4" s="279"/>
      <c r="H4" s="279"/>
      <c r="I4" s="279"/>
      <c r="J4" s="279"/>
      <c r="K4" s="279"/>
      <c r="L4" s="279"/>
    </row>
    <row r="5" spans="2:16" x14ac:dyDescent="0.2">
      <c r="B5" s="286" t="s">
        <v>279</v>
      </c>
      <c r="C5" s="293" t="s">
        <v>357</v>
      </c>
      <c r="D5" s="279"/>
      <c r="E5" s="279"/>
      <c r="F5" s="279"/>
      <c r="G5" s="279"/>
      <c r="H5" s="279"/>
      <c r="I5" s="279"/>
      <c r="J5" s="279"/>
      <c r="K5" s="279"/>
      <c r="L5" s="279"/>
    </row>
    <row r="6" spans="2:16" x14ac:dyDescent="0.2">
      <c r="B6" s="286" t="s">
        <v>548</v>
      </c>
      <c r="C6" s="285">
        <v>45978</v>
      </c>
      <c r="D6" s="279"/>
      <c r="E6" s="279"/>
      <c r="F6" s="279"/>
      <c r="G6" s="279"/>
      <c r="H6" s="279"/>
      <c r="I6" s="279"/>
      <c r="J6" s="279"/>
      <c r="K6" s="279"/>
      <c r="L6" s="279"/>
    </row>
    <row r="7" spans="2:16" ht="16" x14ac:dyDescent="0.2">
      <c r="B7" s="284" t="s">
        <v>355</v>
      </c>
      <c r="C7" s="283" t="s">
        <v>356</v>
      </c>
      <c r="D7" s="279"/>
      <c r="E7" s="279"/>
      <c r="F7" s="279"/>
      <c r="G7" s="279"/>
      <c r="H7" s="282" t="s">
        <v>547</v>
      </c>
      <c r="I7" s="282"/>
      <c r="J7" s="282"/>
      <c r="K7" s="279"/>
      <c r="N7" s="281" t="s">
        <v>546</v>
      </c>
      <c r="O7" s="280"/>
      <c r="P7" s="280"/>
    </row>
    <row r="8" spans="2:16" x14ac:dyDescent="0.2">
      <c r="B8" s="252"/>
      <c r="C8" s="252"/>
      <c r="D8" s="279"/>
      <c r="E8" s="279"/>
      <c r="F8" s="279" t="s">
        <v>545</v>
      </c>
      <c r="G8" s="279" t="s">
        <v>544</v>
      </c>
      <c r="H8" s="279"/>
      <c r="I8" s="279"/>
      <c r="J8" s="279"/>
      <c r="K8" s="279" t="s">
        <v>541</v>
      </c>
      <c r="L8" s="279" t="s">
        <v>543</v>
      </c>
      <c r="M8" s="279" t="s">
        <v>542</v>
      </c>
      <c r="N8" s="322" t="s">
        <v>541</v>
      </c>
      <c r="O8" s="322" t="s">
        <v>541</v>
      </c>
      <c r="P8" s="322" t="s">
        <v>540</v>
      </c>
    </row>
    <row r="9" spans="2:16" ht="16" thickBot="1" x14ac:dyDescent="0.25">
      <c r="B9" s="278" t="s">
        <v>280</v>
      </c>
      <c r="C9" s="278" t="s">
        <v>279</v>
      </c>
      <c r="D9" s="277" t="s">
        <v>299</v>
      </c>
      <c r="E9" s="276"/>
      <c r="F9" s="276" t="s">
        <v>539</v>
      </c>
      <c r="G9" s="276" t="s">
        <v>538</v>
      </c>
      <c r="H9" s="321" t="s">
        <v>537</v>
      </c>
      <c r="I9" s="321" t="s">
        <v>536</v>
      </c>
      <c r="J9" s="321" t="s">
        <v>535</v>
      </c>
      <c r="K9" s="276" t="s">
        <v>534</v>
      </c>
      <c r="L9" s="276" t="s">
        <v>533</v>
      </c>
      <c r="M9" s="276" t="s">
        <v>277</v>
      </c>
      <c r="N9" s="321" t="s">
        <v>532</v>
      </c>
      <c r="O9" s="321" t="s">
        <v>531</v>
      </c>
      <c r="P9" s="321" t="s">
        <v>530</v>
      </c>
    </row>
    <row r="10" spans="2:16" x14ac:dyDescent="0.2">
      <c r="B10" s="253" t="s">
        <v>622</v>
      </c>
      <c r="C10" s="253" t="s">
        <v>357</v>
      </c>
      <c r="D10" s="271">
        <v>46.51</v>
      </c>
      <c r="E10" s="303"/>
      <c r="F10" s="269">
        <v>9189.4</v>
      </c>
      <c r="G10" s="269">
        <v>15021.9</v>
      </c>
      <c r="H10" s="304">
        <v>1.3</v>
      </c>
      <c r="I10" s="304">
        <v>8.6</v>
      </c>
      <c r="J10" s="304">
        <v>6</v>
      </c>
      <c r="K10" s="271">
        <v>5.52</v>
      </c>
      <c r="L10" s="270">
        <v>9.7999999999999997E-3</v>
      </c>
      <c r="M10" s="269">
        <v>13452.7</v>
      </c>
      <c r="N10" s="304">
        <f>D10/K10</f>
        <v>8.4257246376811601</v>
      </c>
      <c r="O10" s="268">
        <f>D10/(K10*L10*100)</f>
        <v>8.5976782017154694</v>
      </c>
      <c r="P10" s="268">
        <f>F10/M10</f>
        <v>0.68308963999791861</v>
      </c>
    </row>
    <row r="11" spans="2:16" x14ac:dyDescent="0.2">
      <c r="B11" s="253"/>
      <c r="C11" s="253"/>
      <c r="D11" s="271"/>
      <c r="E11" s="303"/>
      <c r="F11" s="269"/>
      <c r="G11" s="303"/>
      <c r="H11" s="304"/>
      <c r="I11" s="305"/>
      <c r="J11" s="305"/>
      <c r="K11" s="271"/>
      <c r="L11" s="270"/>
      <c r="M11" s="273"/>
      <c r="N11" s="268"/>
      <c r="O11" s="268"/>
      <c r="P11" s="268"/>
    </row>
    <row r="12" spans="2:16" x14ac:dyDescent="0.2">
      <c r="B12" s="243" t="s">
        <v>410</v>
      </c>
      <c r="C12" s="275" t="s">
        <v>413</v>
      </c>
      <c r="D12" s="271">
        <v>136.38</v>
      </c>
      <c r="E12" s="274"/>
      <c r="F12" s="273">
        <v>23735.5</v>
      </c>
      <c r="G12" s="273">
        <v>34494.300000000003</v>
      </c>
      <c r="H12" s="304">
        <v>3.6</v>
      </c>
      <c r="I12" s="304">
        <v>13.4</v>
      </c>
      <c r="J12" s="304">
        <v>11.5</v>
      </c>
      <c r="K12" s="266">
        <v>11.87</v>
      </c>
      <c r="L12" s="270">
        <v>9.7000000000000003E-3</v>
      </c>
      <c r="M12" s="273">
        <v>7134.8</v>
      </c>
      <c r="N12" s="304">
        <f t="shared" ref="N12:N17" si="0">D12/K12</f>
        <v>11.489469250210615</v>
      </c>
      <c r="O12" s="268">
        <f t="shared" ref="O12:O17" si="1">D12/(K12*L12*100)</f>
        <v>11.844813660010944</v>
      </c>
      <c r="P12" s="268">
        <f t="shared" ref="P12:P17" si="2">F12/M12</f>
        <v>3.3267225430285361</v>
      </c>
    </row>
    <row r="13" spans="2:16" x14ac:dyDescent="0.2">
      <c r="B13" s="243" t="s">
        <v>416</v>
      </c>
      <c r="C13" s="246" t="s">
        <v>417</v>
      </c>
      <c r="D13" s="271">
        <v>799.6</v>
      </c>
      <c r="E13" s="274"/>
      <c r="F13" s="273">
        <v>17027</v>
      </c>
      <c r="G13" s="273">
        <v>27569.8</v>
      </c>
      <c r="H13" s="304">
        <v>2.2000000000000002</v>
      </c>
      <c r="I13" s="304">
        <v>14.5</v>
      </c>
      <c r="J13" s="304">
        <v>10.5</v>
      </c>
      <c r="K13" s="266">
        <v>9.43</v>
      </c>
      <c r="L13" s="270">
        <v>7.4700000000000003E-2</v>
      </c>
      <c r="M13" s="273">
        <v>4764.3999999999996</v>
      </c>
      <c r="N13" s="304">
        <f t="shared" si="0"/>
        <v>84.793213149522799</v>
      </c>
      <c r="O13" s="268">
        <f t="shared" si="1"/>
        <v>11.351166418945489</v>
      </c>
      <c r="P13" s="268">
        <f t="shared" si="2"/>
        <v>3.5737973301989761</v>
      </c>
    </row>
    <row r="14" spans="2:16" x14ac:dyDescent="0.2">
      <c r="B14" s="243" t="s">
        <v>574</v>
      </c>
      <c r="C14" s="246" t="s">
        <v>568</v>
      </c>
      <c r="D14" s="271">
        <v>12</v>
      </c>
      <c r="E14" s="274"/>
      <c r="F14" s="273">
        <v>17219.599999999999</v>
      </c>
      <c r="G14" s="273">
        <v>26116.3</v>
      </c>
      <c r="H14" s="304">
        <v>1.4</v>
      </c>
      <c r="I14" s="304">
        <v>16.3</v>
      </c>
      <c r="J14" s="304">
        <v>10</v>
      </c>
      <c r="K14" s="266">
        <v>0.77</v>
      </c>
      <c r="L14" s="270">
        <v>7.2499999999999995E-2</v>
      </c>
      <c r="M14" s="273">
        <v>17221.3</v>
      </c>
      <c r="N14" s="304">
        <f t="shared" si="0"/>
        <v>15.584415584415584</v>
      </c>
      <c r="O14" s="268">
        <f t="shared" si="1"/>
        <v>2.1495745633676671</v>
      </c>
      <c r="P14" s="268">
        <f t="shared" si="2"/>
        <v>0.99990128503655351</v>
      </c>
    </row>
    <row r="15" spans="2:16" x14ac:dyDescent="0.2">
      <c r="B15" s="243" t="s">
        <v>409</v>
      </c>
      <c r="C15" s="246" t="s">
        <v>605</v>
      </c>
      <c r="D15" s="271">
        <v>53.02</v>
      </c>
      <c r="E15" s="274"/>
      <c r="F15" s="273">
        <v>120047.6</v>
      </c>
      <c r="G15" s="273">
        <v>200378.8</v>
      </c>
      <c r="H15" s="304">
        <v>3.5</v>
      </c>
      <c r="I15" s="304">
        <v>12.8</v>
      </c>
      <c r="J15" s="304">
        <v>10.1</v>
      </c>
      <c r="K15" s="266">
        <v>4.08</v>
      </c>
      <c r="L15" s="270">
        <v>8.8000000000000005E-3</v>
      </c>
      <c r="M15" s="273">
        <v>88700</v>
      </c>
      <c r="N15" s="304">
        <f t="shared" si="0"/>
        <v>12.995098039215687</v>
      </c>
      <c r="O15" s="268">
        <f t="shared" si="1"/>
        <v>14.767156862745097</v>
      </c>
      <c r="P15" s="268">
        <f t="shared" si="2"/>
        <v>1.3534114994363022</v>
      </c>
    </row>
    <row r="16" spans="2:16" x14ac:dyDescent="0.2">
      <c r="B16" s="243" t="s">
        <v>611</v>
      </c>
      <c r="C16" s="246" t="s">
        <v>606</v>
      </c>
      <c r="D16" s="271">
        <v>61.55</v>
      </c>
      <c r="E16" s="274"/>
      <c r="F16" s="273">
        <v>45901.3</v>
      </c>
      <c r="G16" s="273">
        <v>51379.4</v>
      </c>
      <c r="H16" s="304">
        <v>1.5</v>
      </c>
      <c r="I16" s="304">
        <v>10.7</v>
      </c>
      <c r="J16" s="304">
        <v>7</v>
      </c>
      <c r="K16" s="266">
        <v>5.83</v>
      </c>
      <c r="L16" s="270">
        <v>1.61E-2</v>
      </c>
      <c r="M16" s="273">
        <v>25696.3</v>
      </c>
      <c r="N16" s="304">
        <f t="shared" si="0"/>
        <v>10.55746140651801</v>
      </c>
      <c r="O16" s="268">
        <f t="shared" si="1"/>
        <v>6.5574294450422421</v>
      </c>
      <c r="P16" s="268">
        <f t="shared" si="2"/>
        <v>1.7862999731478852</v>
      </c>
    </row>
    <row r="17" spans="2:16" x14ac:dyDescent="0.2">
      <c r="B17" s="243" t="s">
        <v>564</v>
      </c>
      <c r="C17" s="252" t="s">
        <v>414</v>
      </c>
      <c r="D17" s="271">
        <v>194.8</v>
      </c>
      <c r="E17" s="274"/>
      <c r="F17" s="269">
        <v>2031.6</v>
      </c>
      <c r="G17" s="269">
        <v>1822.1</v>
      </c>
      <c r="H17" s="304">
        <v>0.9</v>
      </c>
      <c r="I17" s="304">
        <v>11.7</v>
      </c>
      <c r="J17" s="304">
        <v>7.1</v>
      </c>
      <c r="K17" s="271">
        <v>10.56</v>
      </c>
      <c r="L17" s="270">
        <v>4.2500000000000003E-2</v>
      </c>
      <c r="M17" s="273">
        <v>916.2</v>
      </c>
      <c r="N17" s="304">
        <f t="shared" si="0"/>
        <v>18.446969696969695</v>
      </c>
      <c r="O17" s="268">
        <f t="shared" si="1"/>
        <v>4.3404634581105173</v>
      </c>
      <c r="P17" s="268">
        <f t="shared" si="2"/>
        <v>2.2174197773411919</v>
      </c>
    </row>
    <row r="18" spans="2:16" x14ac:dyDescent="0.2">
      <c r="B18" s="267"/>
      <c r="C18" s="252"/>
      <c r="D18" s="266"/>
      <c r="E18" s="257"/>
      <c r="F18" s="273"/>
      <c r="G18" s="250"/>
      <c r="H18" s="268"/>
      <c r="I18" s="268"/>
      <c r="J18" s="268"/>
      <c r="K18" s="266"/>
      <c r="L18" s="270"/>
      <c r="M18" s="273"/>
      <c r="N18" s="268"/>
      <c r="O18" s="268"/>
      <c r="P18" s="303"/>
    </row>
    <row r="19" spans="2:16" x14ac:dyDescent="0.2">
      <c r="B19" s="267"/>
      <c r="C19" s="252"/>
      <c r="D19" s="266"/>
      <c r="E19" s="257"/>
      <c r="F19" s="273"/>
      <c r="G19" s="250"/>
      <c r="H19" s="268"/>
      <c r="I19" s="268"/>
      <c r="J19" s="268"/>
      <c r="K19" s="266"/>
      <c r="L19" s="270"/>
      <c r="M19" s="273"/>
      <c r="N19" s="268"/>
      <c r="O19" s="268"/>
      <c r="P19" s="268"/>
    </row>
    <row r="20" spans="2:16" x14ac:dyDescent="0.2">
      <c r="B20" s="267"/>
      <c r="C20" s="252"/>
      <c r="D20" s="266"/>
      <c r="E20" s="257"/>
      <c r="F20" s="273"/>
      <c r="G20" s="250"/>
      <c r="H20" s="268"/>
      <c r="I20" s="268"/>
      <c r="J20" s="268"/>
      <c r="K20" s="266"/>
      <c r="L20" s="270"/>
      <c r="M20" s="273"/>
      <c r="N20" s="268"/>
      <c r="O20" s="268"/>
      <c r="P20" s="268"/>
    </row>
    <row r="21" spans="2:16" x14ac:dyDescent="0.2">
      <c r="B21" s="267"/>
      <c r="C21" s="252"/>
      <c r="D21" s="266"/>
      <c r="E21" s="257"/>
      <c r="F21" s="273"/>
      <c r="G21" s="250"/>
      <c r="H21" s="268"/>
      <c r="I21" s="268"/>
      <c r="J21" s="268"/>
      <c r="K21" s="266"/>
      <c r="L21" s="270"/>
      <c r="M21" s="273"/>
      <c r="N21" s="268"/>
      <c r="O21" s="268"/>
      <c r="P21" s="268"/>
    </row>
    <row r="22" spans="2:16" x14ac:dyDescent="0.2">
      <c r="B22" s="267"/>
      <c r="C22" s="252"/>
      <c r="D22" s="271"/>
      <c r="E22" s="257"/>
      <c r="F22" s="269"/>
      <c r="G22" s="272"/>
      <c r="H22" s="268"/>
      <c r="I22" s="268"/>
      <c r="J22" s="268"/>
      <c r="K22" s="271"/>
      <c r="L22" s="270"/>
      <c r="M22" s="269"/>
      <c r="N22" s="268"/>
      <c r="O22" s="268"/>
      <c r="P22" s="268"/>
    </row>
    <row r="23" spans="2:16" x14ac:dyDescent="0.2">
      <c r="B23" s="267"/>
      <c r="C23" s="252"/>
      <c r="D23" s="266"/>
      <c r="E23" s="257"/>
      <c r="F23" s="265"/>
      <c r="G23" s="250"/>
      <c r="H23" s="255"/>
      <c r="I23" s="255"/>
      <c r="J23" s="255"/>
      <c r="K23" s="256"/>
      <c r="L23" s="255"/>
      <c r="M23" s="265"/>
    </row>
    <row r="24" spans="2:16" x14ac:dyDescent="0.2">
      <c r="B24" s="252"/>
      <c r="C24" s="252"/>
      <c r="D24" s="256"/>
      <c r="E24" s="257"/>
      <c r="F24" s="250"/>
      <c r="G24" s="261" t="s">
        <v>529</v>
      </c>
      <c r="H24" s="264">
        <f>MAX(H12:H17)</f>
        <v>3.6</v>
      </c>
      <c r="I24" s="263">
        <f t="shared" ref="I24:P24" si="3">MAX(I12:I17)</f>
        <v>16.3</v>
      </c>
      <c r="J24" s="263">
        <f t="shared" si="3"/>
        <v>11.5</v>
      </c>
      <c r="K24" s="263"/>
      <c r="L24" s="263"/>
      <c r="M24" s="263"/>
      <c r="N24" s="263">
        <f t="shared" si="3"/>
        <v>84.793213149522799</v>
      </c>
      <c r="O24" s="263">
        <f t="shared" si="3"/>
        <v>14.767156862745097</v>
      </c>
      <c r="P24" s="262">
        <f t="shared" si="3"/>
        <v>3.5737973301989761</v>
      </c>
    </row>
    <row r="25" spans="2:16" x14ac:dyDescent="0.2">
      <c r="B25" s="252"/>
      <c r="C25" s="252"/>
      <c r="D25" s="256"/>
      <c r="E25" s="257"/>
      <c r="F25" s="250"/>
      <c r="G25" s="261" t="s">
        <v>528</v>
      </c>
      <c r="H25" s="291">
        <f>AVERAGE(H12:H17)</f>
        <v>2.1833333333333336</v>
      </c>
      <c r="I25" s="307">
        <f t="shared" ref="I25:P25" si="4">AVERAGE(I12:I17)</f>
        <v>13.233333333333334</v>
      </c>
      <c r="J25" s="307">
        <f t="shared" si="4"/>
        <v>9.3666666666666671</v>
      </c>
      <c r="K25" s="307"/>
      <c r="L25" s="307"/>
      <c r="M25" s="307"/>
      <c r="N25" s="307">
        <f t="shared" si="4"/>
        <v>25.644437854475399</v>
      </c>
      <c r="O25" s="307">
        <f t="shared" si="4"/>
        <v>8.5017674013703282</v>
      </c>
      <c r="P25" s="292">
        <f t="shared" si="4"/>
        <v>2.2095920680315744</v>
      </c>
    </row>
    <row r="26" spans="2:16" x14ac:dyDescent="0.2">
      <c r="B26" s="252"/>
      <c r="C26" s="252"/>
      <c r="D26" s="256"/>
      <c r="E26" s="257"/>
      <c r="F26" s="250"/>
      <c r="G26" s="261" t="s">
        <v>527</v>
      </c>
      <c r="H26" s="291">
        <f>MEDIAN(H12:H17)</f>
        <v>1.85</v>
      </c>
      <c r="I26" s="307">
        <f t="shared" ref="I26:P26" si="5">MEDIAN(I12:I17)</f>
        <v>13.100000000000001</v>
      </c>
      <c r="J26" s="307">
        <f t="shared" si="5"/>
        <v>10.050000000000001</v>
      </c>
      <c r="K26" s="307"/>
      <c r="L26" s="307"/>
      <c r="M26" s="307"/>
      <c r="N26" s="307">
        <f t="shared" si="5"/>
        <v>14.289756811815636</v>
      </c>
      <c r="O26" s="307">
        <f t="shared" si="5"/>
        <v>8.9542979319938656</v>
      </c>
      <c r="P26" s="292">
        <f t="shared" si="5"/>
        <v>2.0018598752445387</v>
      </c>
    </row>
    <row r="27" spans="2:16" x14ac:dyDescent="0.2">
      <c r="B27" s="252"/>
      <c r="C27" s="252"/>
      <c r="D27" s="256"/>
      <c r="E27" s="257"/>
      <c r="F27" s="250"/>
      <c r="G27" s="261" t="s">
        <v>526</v>
      </c>
      <c r="H27" s="260">
        <f>MIN(H12:H17)</f>
        <v>0.9</v>
      </c>
      <c r="I27" s="259">
        <f t="shared" ref="I27:P27" si="6">MIN(I12:I17)</f>
        <v>10.7</v>
      </c>
      <c r="J27" s="259">
        <f t="shared" si="6"/>
        <v>7</v>
      </c>
      <c r="K27" s="259"/>
      <c r="L27" s="259"/>
      <c r="M27" s="259"/>
      <c r="N27" s="259">
        <f t="shared" si="6"/>
        <v>10.55746140651801</v>
      </c>
      <c r="O27" s="259">
        <f t="shared" si="6"/>
        <v>2.1495745633676671</v>
      </c>
      <c r="P27" s="258">
        <f t="shared" si="6"/>
        <v>0.99990128503655351</v>
      </c>
    </row>
    <row r="28" spans="2:16" x14ac:dyDescent="0.2">
      <c r="B28" s="252"/>
      <c r="C28" s="252"/>
      <c r="D28" s="256"/>
      <c r="E28" s="257"/>
      <c r="F28" s="250"/>
      <c r="G28" s="250"/>
      <c r="H28" s="255"/>
      <c r="I28" s="255"/>
      <c r="J28" s="255"/>
      <c r="K28" s="256"/>
      <c r="L28" s="255"/>
    </row>
    <row r="29" spans="2:16" x14ac:dyDescent="0.2">
      <c r="B29" s="252"/>
      <c r="C29" s="252"/>
      <c r="D29" s="252"/>
      <c r="E29" s="252"/>
      <c r="F29" s="252"/>
      <c r="G29" s="252"/>
      <c r="H29" s="252"/>
      <c r="I29" s="252"/>
      <c r="J29" s="252"/>
      <c r="K29" s="252"/>
      <c r="L29" s="252"/>
    </row>
    <row r="30" spans="2:16" ht="46" x14ac:dyDescent="0.2">
      <c r="B30" s="252"/>
      <c r="C30" s="252"/>
      <c r="D30" s="254" t="s">
        <v>525</v>
      </c>
      <c r="E30" s="254" t="s">
        <v>304</v>
      </c>
      <c r="F30" s="254" t="s">
        <v>325</v>
      </c>
      <c r="G30" s="254" t="s">
        <v>524</v>
      </c>
      <c r="H30" s="254" t="s">
        <v>523</v>
      </c>
      <c r="I30" s="254" t="s">
        <v>522</v>
      </c>
      <c r="J30" s="254" t="s">
        <v>521</v>
      </c>
      <c r="K30" s="254"/>
      <c r="N30" s="254" t="s">
        <v>520</v>
      </c>
      <c r="O30" s="254" t="s">
        <v>519</v>
      </c>
      <c r="P30" s="254" t="s">
        <v>518</v>
      </c>
    </row>
    <row r="31" spans="2:16" x14ac:dyDescent="0.2">
      <c r="B31" s="253" t="s">
        <v>356</v>
      </c>
      <c r="C31" s="252"/>
      <c r="D31" s="251" t="e">
        <f>F31/E31</f>
        <v>#REF!</v>
      </c>
      <c r="E31" s="306">
        <f>TAP_DCF!I93</f>
        <v>194.721011</v>
      </c>
      <c r="F31" s="250" t="e">
        <f>G31-SUM(#REF!)</f>
        <v>#REF!</v>
      </c>
      <c r="G31" s="250" t="e">
        <f>H31*#REF!</f>
        <v>#REF!</v>
      </c>
      <c r="H31" s="304">
        <f>H26</f>
        <v>1.85</v>
      </c>
      <c r="I31" s="304"/>
      <c r="J31" s="304"/>
      <c r="K31" s="249"/>
      <c r="L31" s="249"/>
      <c r="M31" s="249"/>
      <c r="N31" s="249"/>
      <c r="O31" s="249"/>
      <c r="P31" s="249"/>
    </row>
    <row r="32" spans="2:16" x14ac:dyDescent="0.2">
      <c r="B32" s="252"/>
      <c r="C32" s="252"/>
      <c r="D32" s="251" t="e">
        <f t="shared" ref="D32:D35" si="7">F32/E32</f>
        <v>#REF!</v>
      </c>
      <c r="E32" s="273">
        <v>194.721011</v>
      </c>
      <c r="F32" s="250" t="e">
        <f>G32-SUM(#REF!)</f>
        <v>#REF!</v>
      </c>
      <c r="G32" s="250" t="e">
        <f>H32*#REF!</f>
        <v>#REF!</v>
      </c>
      <c r="H32" s="304">
        <f>H25</f>
        <v>2.1833333333333336</v>
      </c>
      <c r="I32" s="304"/>
      <c r="J32" s="304"/>
      <c r="K32" s="249"/>
      <c r="L32" s="249"/>
      <c r="M32" s="249"/>
      <c r="N32" s="249"/>
      <c r="O32" s="249"/>
      <c r="P32" s="249"/>
    </row>
    <row r="33" spans="2:16" x14ac:dyDescent="0.2">
      <c r="D33" s="251" t="e">
        <f t="shared" si="7"/>
        <v>#REF!</v>
      </c>
      <c r="E33" s="273">
        <v>194.721011</v>
      </c>
      <c r="F33" s="250" t="e">
        <f>G33-SUM(#REF!)</f>
        <v>#REF!</v>
      </c>
      <c r="G33" s="250" t="e">
        <f>I33*#REF!</f>
        <v>#REF!</v>
      </c>
      <c r="H33" s="304"/>
      <c r="I33" s="304">
        <f>I26</f>
        <v>13.100000000000001</v>
      </c>
      <c r="J33" s="304"/>
      <c r="K33" s="249"/>
      <c r="L33" s="249"/>
      <c r="M33" s="249"/>
      <c r="N33" s="249"/>
      <c r="O33" s="249"/>
      <c r="P33" s="249"/>
    </row>
    <row r="34" spans="2:16" x14ac:dyDescent="0.2">
      <c r="D34" s="251" t="e">
        <f t="shared" si="7"/>
        <v>#REF!</v>
      </c>
      <c r="E34" s="273">
        <v>194.721011</v>
      </c>
      <c r="F34" s="250" t="e">
        <f>G34-SUM(#REF!)</f>
        <v>#REF!</v>
      </c>
      <c r="G34" s="250" t="e">
        <f>I34*#REF!</f>
        <v>#REF!</v>
      </c>
      <c r="H34" s="304"/>
      <c r="I34" s="304">
        <f>I25</f>
        <v>13.233333333333334</v>
      </c>
      <c r="J34" s="304"/>
      <c r="K34" s="249"/>
      <c r="L34" s="249"/>
      <c r="M34" s="249"/>
      <c r="N34" s="249"/>
      <c r="O34" s="249"/>
      <c r="P34" s="249"/>
    </row>
    <row r="35" spans="2:16" x14ac:dyDescent="0.2">
      <c r="D35" s="251" t="e">
        <f t="shared" si="7"/>
        <v>#REF!</v>
      </c>
      <c r="E35" s="273">
        <v>194.721011</v>
      </c>
      <c r="F35" s="250" t="e">
        <f>G35-SUM(#REF!)</f>
        <v>#REF!</v>
      </c>
      <c r="G35" s="250" t="e">
        <f>J35*#REF!</f>
        <v>#REF!</v>
      </c>
      <c r="H35" s="304"/>
      <c r="I35" s="304"/>
      <c r="J35" s="304">
        <v>7</v>
      </c>
      <c r="K35" s="249"/>
      <c r="L35" s="249"/>
      <c r="M35" s="249"/>
      <c r="N35" s="249"/>
      <c r="O35" s="249"/>
      <c r="P35" s="249"/>
    </row>
    <row r="36" spans="2:16" x14ac:dyDescent="0.2">
      <c r="D36" s="251" t="e">
        <f>F36/E36</f>
        <v>#REF!</v>
      </c>
      <c r="E36" s="273">
        <v>194.721011</v>
      </c>
      <c r="F36" s="250" t="e">
        <f>G36-SUM(#REF!)</f>
        <v>#REF!</v>
      </c>
      <c r="G36" s="250" t="e">
        <f>J36*#REF!</f>
        <v>#REF!</v>
      </c>
      <c r="H36" s="304"/>
      <c r="I36" s="304"/>
      <c r="J36" s="304">
        <f>J26</f>
        <v>10.050000000000001</v>
      </c>
      <c r="K36" s="249"/>
      <c r="L36" s="249"/>
      <c r="M36" s="249"/>
      <c r="N36" s="249"/>
      <c r="O36" s="249"/>
      <c r="P36" s="249"/>
    </row>
    <row r="37" spans="2:16" x14ac:dyDescent="0.2">
      <c r="D37" s="251">
        <f>N37*$K$10</f>
        <v>78.879457601222299</v>
      </c>
      <c r="E37" s="273">
        <v>194.721011</v>
      </c>
      <c r="F37" s="250"/>
      <c r="G37" s="250"/>
      <c r="H37" s="249"/>
      <c r="I37" s="249"/>
      <c r="J37" s="249"/>
      <c r="K37" s="249"/>
      <c r="L37" s="249"/>
      <c r="M37" s="249"/>
      <c r="N37" s="304">
        <f>N26</f>
        <v>14.289756811815636</v>
      </c>
      <c r="O37" s="304"/>
      <c r="P37" s="304"/>
    </row>
    <row r="38" spans="2:16" x14ac:dyDescent="0.2">
      <c r="D38" s="251">
        <f>N38*$K$10</f>
        <v>141.55729695670419</v>
      </c>
      <c r="E38" s="273">
        <v>194.721011</v>
      </c>
      <c r="F38" s="250"/>
      <c r="G38" s="250"/>
      <c r="H38" s="249"/>
      <c r="I38" s="249"/>
      <c r="J38" s="249"/>
      <c r="K38" s="249"/>
      <c r="L38" s="249"/>
      <c r="M38" s="249"/>
      <c r="N38" s="304">
        <f>N25</f>
        <v>25.644437854475399</v>
      </c>
      <c r="O38" s="304"/>
      <c r="P38" s="304"/>
    </row>
    <row r="39" spans="2:16" x14ac:dyDescent="0.2">
      <c r="D39" s="251">
        <f>O39*$K$10*$L$10*100</f>
        <v>45.991160934452921</v>
      </c>
      <c r="E39" s="273">
        <v>194.721011</v>
      </c>
      <c r="F39" s="250"/>
      <c r="G39" s="250"/>
      <c r="H39" s="249"/>
      <c r="I39" s="249"/>
      <c r="J39" s="249"/>
      <c r="K39" s="249"/>
      <c r="L39" s="249"/>
      <c r="M39" s="249"/>
      <c r="N39" s="304"/>
      <c r="O39" s="304">
        <f>O25</f>
        <v>8.5017674013703282</v>
      </c>
      <c r="P39" s="304"/>
    </row>
    <row r="40" spans="2:16" x14ac:dyDescent="0.2">
      <c r="D40" s="251">
        <f>O40*$K$10*$L$10*100</f>
        <v>48.439170092914011</v>
      </c>
      <c r="E40" s="273">
        <v>194.721011</v>
      </c>
      <c r="F40" s="250"/>
      <c r="G40" s="250"/>
      <c r="H40" s="249"/>
      <c r="I40" s="249"/>
      <c r="J40" s="249"/>
      <c r="K40" s="249"/>
      <c r="L40" s="249"/>
      <c r="M40" s="249"/>
      <c r="N40" s="304"/>
      <c r="O40" s="304">
        <f>O26</f>
        <v>8.9542979319938656</v>
      </c>
      <c r="P40" s="304"/>
    </row>
    <row r="41" spans="2:16" x14ac:dyDescent="0.2">
      <c r="D41" s="251">
        <f>F41/E41</f>
        <v>138.30259100134913</v>
      </c>
      <c r="E41" s="273">
        <v>194.721011</v>
      </c>
      <c r="F41" s="250">
        <f>P41*$M$10</f>
        <v>26930.420343702208</v>
      </c>
      <c r="G41" s="250"/>
      <c r="H41" s="249"/>
      <c r="I41" s="249"/>
      <c r="J41" s="249"/>
      <c r="K41" s="249"/>
      <c r="L41" s="249"/>
      <c r="M41" s="249"/>
      <c r="N41" s="304"/>
      <c r="O41" s="304"/>
      <c r="P41" s="304">
        <f>P26</f>
        <v>2.0018598752445387</v>
      </c>
    </row>
    <row r="42" spans="2:16" x14ac:dyDescent="0.2">
      <c r="D42" s="251">
        <f>F42/E42</f>
        <v>152.65419515312789</v>
      </c>
      <c r="E42" s="273">
        <v>194.721011</v>
      </c>
      <c r="F42" s="250">
        <f>P42*$M$10</f>
        <v>29724.979213608363</v>
      </c>
      <c r="G42" s="250"/>
      <c r="H42" s="249"/>
      <c r="I42" s="249"/>
      <c r="J42" s="249"/>
      <c r="K42" s="249"/>
      <c r="L42" s="249"/>
      <c r="M42" s="249"/>
      <c r="N42" s="304"/>
      <c r="O42" s="304"/>
      <c r="P42" s="304">
        <f>P25</f>
        <v>2.2095920680315744</v>
      </c>
    </row>
    <row r="44" spans="2:16" x14ac:dyDescent="0.2">
      <c r="B44" s="308" t="s">
        <v>624</v>
      </c>
    </row>
    <row r="45" spans="2:16" x14ac:dyDescent="0.2">
      <c r="B45" s="248" t="s">
        <v>625</v>
      </c>
      <c r="C45" s="273">
        <v>5385</v>
      </c>
    </row>
    <row r="46" spans="2:16" x14ac:dyDescent="0.2">
      <c r="B46" s="248" t="s">
        <v>626</v>
      </c>
      <c r="C46" s="273">
        <v>0</v>
      </c>
    </row>
    <row r="47" spans="2:16" x14ac:dyDescent="0.2">
      <c r="B47" s="248" t="s">
        <v>627</v>
      </c>
      <c r="C47" s="273">
        <v>360.3</v>
      </c>
    </row>
  </sheetData>
  <hyperlinks>
    <hyperlink ref="H12" r:id="rId1" tooltip="Company: Constellation Brands, Inc. (NYSE:STZ) Data Item: TEV/Total Revenues Value: 3.6x " display="javascript:void(0);" xr:uid="{CF318024-582D-E447-BCD8-3F24E775F3FD}"/>
  </hyperlinks>
  <pageMargins left="0.7" right="0.7" top="0.75" bottom="0.75" header="0.3" footer="0.3"/>
  <pageSetup orientation="portrait" verticalDpi="9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977AA-6C16-6749-9027-96D93BFC254B}">
  <dimension ref="A1:R25"/>
  <sheetViews>
    <sheetView showGridLines="0" zoomScale="107" zoomScaleNormal="122" workbookViewId="0">
      <selection activeCell="D11" sqref="D11"/>
    </sheetView>
  </sheetViews>
  <sheetFormatPr baseColWidth="10" defaultRowHeight="16" x14ac:dyDescent="0.2"/>
  <cols>
    <col min="2" max="2" width="20.83203125" customWidth="1"/>
    <col min="3" max="3" width="27.5" customWidth="1"/>
  </cols>
  <sheetData>
    <row r="1" spans="1:18" ht="25" x14ac:dyDescent="0.25">
      <c r="A1" s="290" t="s">
        <v>635</v>
      </c>
      <c r="C1" s="309"/>
      <c r="D1" s="309"/>
      <c r="E1" s="309"/>
      <c r="F1" s="309"/>
      <c r="G1" s="309"/>
      <c r="H1" s="309"/>
      <c r="I1" s="309"/>
      <c r="J1" s="309"/>
      <c r="K1" s="309"/>
      <c r="L1" s="309"/>
      <c r="M1" s="309"/>
      <c r="N1" s="309"/>
      <c r="O1" s="309"/>
      <c r="P1" s="309"/>
      <c r="Q1" s="309"/>
      <c r="R1" s="309"/>
    </row>
    <row r="2" spans="1:18" x14ac:dyDescent="0.2">
      <c r="A2" s="309"/>
      <c r="B2" s="309"/>
      <c r="C2" s="309"/>
      <c r="D2" s="309"/>
      <c r="E2" s="309"/>
      <c r="F2" s="309"/>
      <c r="G2" s="309"/>
      <c r="H2" s="309"/>
      <c r="I2" s="309"/>
      <c r="J2" s="309"/>
      <c r="K2" s="309"/>
      <c r="L2" s="309"/>
      <c r="M2" s="309"/>
      <c r="N2" s="309"/>
      <c r="O2" s="309"/>
      <c r="P2" s="309"/>
      <c r="Q2" s="309"/>
      <c r="R2" s="309"/>
    </row>
    <row r="3" spans="1:18" x14ac:dyDescent="0.2">
      <c r="A3" s="309"/>
      <c r="B3" s="289" t="s">
        <v>427</v>
      </c>
      <c r="C3" s="289"/>
      <c r="D3" s="252"/>
      <c r="E3" s="310"/>
      <c r="F3" s="309"/>
      <c r="G3" s="309"/>
      <c r="H3" s="309"/>
      <c r="I3" s="309"/>
      <c r="J3" s="309"/>
      <c r="K3" s="309"/>
      <c r="L3" s="309"/>
      <c r="M3" s="309"/>
      <c r="N3" s="309"/>
      <c r="O3" s="309"/>
      <c r="P3" s="309"/>
      <c r="Q3" s="309"/>
      <c r="R3" s="309"/>
    </row>
    <row r="4" spans="1:18" x14ac:dyDescent="0.2">
      <c r="A4" s="309"/>
      <c r="B4" s="288" t="s">
        <v>549</v>
      </c>
      <c r="C4" s="287">
        <v>46022</v>
      </c>
      <c r="D4" s="279"/>
      <c r="E4" s="311"/>
      <c r="F4" s="309"/>
      <c r="G4" s="309"/>
      <c r="H4" s="309"/>
      <c r="I4" s="309"/>
      <c r="J4" s="309"/>
      <c r="K4" s="309"/>
      <c r="L4" s="309"/>
      <c r="M4" s="309"/>
      <c r="N4" s="309"/>
      <c r="O4" s="309"/>
      <c r="P4" s="309"/>
      <c r="Q4" s="309"/>
      <c r="R4" s="309"/>
    </row>
    <row r="5" spans="1:18" x14ac:dyDescent="0.2">
      <c r="A5" s="309"/>
      <c r="B5" s="286" t="s">
        <v>279</v>
      </c>
      <c r="C5" s="293" t="s">
        <v>357</v>
      </c>
      <c r="D5" s="279"/>
      <c r="E5" s="309"/>
      <c r="F5" s="309"/>
      <c r="G5" s="309"/>
      <c r="H5" s="309"/>
      <c r="I5" s="309"/>
      <c r="J5" s="309"/>
      <c r="K5" s="309"/>
      <c r="L5" s="309"/>
      <c r="M5" s="309"/>
      <c r="N5" s="309"/>
      <c r="O5" s="309"/>
      <c r="P5" s="309"/>
      <c r="Q5" s="309"/>
      <c r="R5" s="309"/>
    </row>
    <row r="6" spans="1:18" x14ac:dyDescent="0.2">
      <c r="A6" s="309"/>
      <c r="B6" s="286" t="s">
        <v>548</v>
      </c>
      <c r="C6" s="285">
        <v>45978</v>
      </c>
      <c r="D6" s="279"/>
      <c r="E6" s="309"/>
      <c r="F6" s="309"/>
      <c r="G6" s="309"/>
      <c r="H6" s="309"/>
      <c r="I6" s="309"/>
      <c r="J6" s="309"/>
      <c r="K6" s="309"/>
      <c r="L6" s="309"/>
      <c r="M6" s="309"/>
      <c r="N6" s="309"/>
      <c r="O6" s="309"/>
      <c r="P6" s="309"/>
      <c r="Q6" s="309"/>
      <c r="R6" s="309"/>
    </row>
    <row r="7" spans="1:18" x14ac:dyDescent="0.2">
      <c r="A7" s="309"/>
      <c r="B7" s="284" t="s">
        <v>355</v>
      </c>
      <c r="C7" s="283" t="s">
        <v>601</v>
      </c>
      <c r="D7" s="279"/>
      <c r="E7" s="309"/>
      <c r="F7" s="309"/>
      <c r="G7" s="309"/>
      <c r="H7" s="309"/>
      <c r="I7" s="309"/>
      <c r="J7" s="37" t="s">
        <v>628</v>
      </c>
      <c r="K7" s="37"/>
      <c r="L7" s="309"/>
      <c r="M7" s="309"/>
      <c r="N7" s="309"/>
      <c r="O7" s="309"/>
      <c r="P7" s="309"/>
      <c r="Q7" s="309"/>
      <c r="R7" s="309"/>
    </row>
    <row r="8" spans="1:18" x14ac:dyDescent="0.2">
      <c r="A8" s="309"/>
      <c r="B8" s="313" t="s">
        <v>629</v>
      </c>
      <c r="C8" s="313"/>
      <c r="D8" s="313"/>
      <c r="E8" s="313"/>
      <c r="F8" s="314" t="s">
        <v>526</v>
      </c>
      <c r="G8" s="314" t="s">
        <v>630</v>
      </c>
      <c r="H8" s="314" t="s">
        <v>529</v>
      </c>
      <c r="I8" s="309"/>
      <c r="J8" s="313" t="s">
        <v>526</v>
      </c>
      <c r="K8" s="313" t="s">
        <v>529</v>
      </c>
      <c r="L8" s="309"/>
      <c r="M8" t="s">
        <v>308</v>
      </c>
      <c r="O8" s="309"/>
      <c r="P8" s="309"/>
      <c r="Q8" s="309"/>
      <c r="R8" s="309"/>
    </row>
    <row r="9" spans="1:18" x14ac:dyDescent="0.2">
      <c r="A9" s="309"/>
      <c r="B9" s="309" t="str">
        <f>"Public comps EV/Sales range " &amp;TEXT(J9,"0.0x")&amp;"-"&amp;TEXT(K9,"0.0x")</f>
        <v>Public comps EV/Sales range 1.9x-2.2x</v>
      </c>
      <c r="C9" s="309"/>
      <c r="D9" s="309"/>
      <c r="E9" s="309"/>
      <c r="F9" s="143" t="e">
        <f>TAP_Comps!D31</f>
        <v>#REF!</v>
      </c>
      <c r="G9" s="143" t="e">
        <f>H9-F9</f>
        <v>#REF!</v>
      </c>
      <c r="H9" s="143" t="e">
        <f>TAP_Comps!D32</f>
        <v>#REF!</v>
      </c>
      <c r="I9" s="309"/>
      <c r="J9" s="316">
        <f>TAP_Comps!H31</f>
        <v>1.85</v>
      </c>
      <c r="K9" s="316">
        <f>TAP_Comps!H32</f>
        <v>2.1833333333333336</v>
      </c>
      <c r="L9" s="309"/>
      <c r="M9" s="312">
        <f>$D$4</f>
        <v>0</v>
      </c>
      <c r="N9" s="309"/>
      <c r="O9" s="309"/>
      <c r="P9" s="309"/>
      <c r="Q9" s="309"/>
      <c r="R9" s="309"/>
    </row>
    <row r="10" spans="1:18" x14ac:dyDescent="0.2">
      <c r="A10" s="309"/>
      <c r="B10" s="309" t="str">
        <f>"Public comps EV/EBIT range " &amp;TEXT(J10,"0.0x")&amp;"-"&amp;TEXT(K10,"0.0x")</f>
        <v>Public comps EV/EBIT range 8.5x-9.0x</v>
      </c>
      <c r="C10" s="309"/>
      <c r="D10" s="309"/>
      <c r="E10" s="309"/>
      <c r="F10" s="143">
        <f>TAP_Comps!D39</f>
        <v>45.991160934452921</v>
      </c>
      <c r="G10" s="143">
        <f>H10-F10</f>
        <v>2.4480091584610904</v>
      </c>
      <c r="H10" s="143">
        <f>TAP_Comps!D40</f>
        <v>48.439170092914011</v>
      </c>
      <c r="I10" s="309"/>
      <c r="J10" s="316">
        <f>TAP_Comps!O39</f>
        <v>8.5017674013703282</v>
      </c>
      <c r="K10" s="316">
        <f>TAP_Comps!O40</f>
        <v>8.9542979319938656</v>
      </c>
      <c r="L10" s="309"/>
      <c r="M10" s="312">
        <f>$D$4</f>
        <v>0</v>
      </c>
      <c r="N10" s="309"/>
      <c r="O10" s="309"/>
      <c r="P10" s="309"/>
      <c r="Q10" s="309"/>
      <c r="R10" s="309"/>
    </row>
    <row r="11" spans="1:18" x14ac:dyDescent="0.2">
      <c r="A11" s="309"/>
      <c r="B11" s="309" t="str">
        <f>"Public comps EV/EBITDA range " &amp;TEXT(J11,"0.0x")&amp;"-"&amp;TEXT(K11,"0.0x")</f>
        <v>Public comps EV/EBITDA range 7.0x-10.1x</v>
      </c>
      <c r="C11" s="309"/>
      <c r="D11" s="309"/>
      <c r="E11" s="309"/>
      <c r="F11" s="143" t="e">
        <f>TAP_Comps!D35</f>
        <v>#REF!</v>
      </c>
      <c r="G11" s="143" t="e">
        <f>H11-F11</f>
        <v>#REF!</v>
      </c>
      <c r="H11" s="143" t="e">
        <f>TAP_Comps!D36</f>
        <v>#REF!</v>
      </c>
      <c r="I11" s="309"/>
      <c r="J11" s="316">
        <f>TAP_Comps!J35</f>
        <v>7</v>
      </c>
      <c r="K11" s="316">
        <f>TAP_Comps!J36</f>
        <v>10.050000000000001</v>
      </c>
      <c r="L11" s="309"/>
      <c r="M11" s="312">
        <f>$D$4</f>
        <v>0</v>
      </c>
      <c r="N11" s="309"/>
      <c r="O11" s="309"/>
      <c r="P11" s="309"/>
      <c r="Q11" s="309"/>
      <c r="R11" s="309"/>
    </row>
    <row r="12" spans="1:18" x14ac:dyDescent="0.2">
      <c r="A12" s="309"/>
      <c r="B12" s="309" t="str">
        <f>"Public comps Forward PEG range " &amp;TEXT(J12,"0.0x")&amp;"-"&amp;TEXT(K12,"0.0x")</f>
        <v>Public comps Forward PEG range 8.5x-9.0x</v>
      </c>
      <c r="C12" s="309"/>
      <c r="D12" s="309"/>
      <c r="E12" s="309"/>
      <c r="F12" s="143">
        <f>TAP_DCF!E159</f>
        <v>39.891797788636197</v>
      </c>
      <c r="G12" s="143">
        <f>H12-F12</f>
        <v>64.192618613731867</v>
      </c>
      <c r="H12" s="143">
        <f>TAP_DCF!L159</f>
        <v>104.08441640236806</v>
      </c>
      <c r="I12" s="309"/>
      <c r="J12" s="316">
        <f>TAP_Comps!O39</f>
        <v>8.5017674013703282</v>
      </c>
      <c r="K12" s="316">
        <f>TAP_Comps!O40</f>
        <v>8.9542979319938656</v>
      </c>
      <c r="L12" s="309"/>
      <c r="M12" s="312">
        <f>$D$4</f>
        <v>0</v>
      </c>
      <c r="N12" s="309"/>
      <c r="O12" s="309"/>
      <c r="P12" s="309"/>
      <c r="Q12" s="309"/>
      <c r="R12" s="309"/>
    </row>
    <row r="13" spans="1:18" x14ac:dyDescent="0.2">
      <c r="A13" s="309"/>
      <c r="B13" s="309" t="str">
        <f>"Public comps Forward P/E range " &amp;TEXT(J13,"0.0x")&amp;"-"&amp;TEXT(K13,"0.0x")</f>
        <v>Public comps Forward P/E range 14.3x-25.6x</v>
      </c>
      <c r="C13" s="309"/>
      <c r="D13" s="309"/>
      <c r="E13" s="309"/>
      <c r="F13" s="143">
        <f>TAP_Comps!D39</f>
        <v>45.991160934452921</v>
      </c>
      <c r="G13" s="143">
        <f t="shared" ref="G13:G15" si="0">H13-F13</f>
        <v>2.4480091584610904</v>
      </c>
      <c r="H13" s="143">
        <f>TAP_Comps!D40</f>
        <v>48.439170092914011</v>
      </c>
      <c r="I13" s="309"/>
      <c r="J13" s="316">
        <f>TAP_Comps!N37</f>
        <v>14.289756811815636</v>
      </c>
      <c r="K13" s="316">
        <f>TAP_Comps!N38</f>
        <v>25.644437854475399</v>
      </c>
      <c r="L13" s="309"/>
      <c r="M13" s="312">
        <f t="shared" ref="M13:M14" si="1">$D$4</f>
        <v>0</v>
      </c>
      <c r="N13" s="309"/>
      <c r="O13" s="309"/>
      <c r="P13" s="309"/>
      <c r="Q13" s="309"/>
      <c r="R13" s="309"/>
    </row>
    <row r="14" spans="1:18" x14ac:dyDescent="0.2">
      <c r="A14" s="309"/>
      <c r="B14" s="309" t="str">
        <f>"Public comps Price-to-Book range " &amp;TEXT(J14,"0.0x")&amp;"-"&amp;TEXT(K14,"0.0x")</f>
        <v>Public comps Price-to-Book range 2.0x-2.2x</v>
      </c>
      <c r="C14" s="309"/>
      <c r="D14" s="309"/>
      <c r="E14" s="309"/>
      <c r="F14" s="143">
        <f>TAP_Comps!D41</f>
        <v>138.30259100134913</v>
      </c>
      <c r="G14" s="143">
        <f t="shared" si="0"/>
        <v>14.351604151778758</v>
      </c>
      <c r="H14" s="143">
        <f>TAP_Comps!D42</f>
        <v>152.65419515312789</v>
      </c>
      <c r="I14" s="309"/>
      <c r="J14" s="316">
        <f>TAP_Comps!P41</f>
        <v>2.0018598752445387</v>
      </c>
      <c r="K14" s="316">
        <f>TAP_Comps!P42</f>
        <v>2.2095920680315744</v>
      </c>
      <c r="L14" s="309"/>
      <c r="M14" s="312">
        <f t="shared" si="1"/>
        <v>0</v>
      </c>
      <c r="N14" s="309"/>
      <c r="O14" s="309"/>
      <c r="P14" s="309"/>
      <c r="Q14" s="309"/>
      <c r="R14" s="309"/>
    </row>
    <row r="15" spans="1:18" x14ac:dyDescent="0.2">
      <c r="A15" s="309"/>
      <c r="B15" s="309" t="s">
        <v>631</v>
      </c>
      <c r="C15" s="309"/>
      <c r="D15" s="309"/>
      <c r="E15" s="309"/>
      <c r="F15" s="311">
        <v>42.94</v>
      </c>
      <c r="G15" s="143">
        <f t="shared" si="0"/>
        <v>21.72</v>
      </c>
      <c r="H15" s="311">
        <v>64.66</v>
      </c>
      <c r="I15" s="309"/>
      <c r="J15" s="309"/>
      <c r="K15" s="309"/>
      <c r="L15" s="309"/>
      <c r="M15" s="312">
        <f>$D$4</f>
        <v>0</v>
      </c>
      <c r="N15" s="309"/>
      <c r="O15" s="309"/>
      <c r="P15" s="309"/>
      <c r="Q15" s="309"/>
      <c r="R15" s="309"/>
    </row>
    <row r="16" spans="1:18" x14ac:dyDescent="0.2">
      <c r="A16" s="309"/>
      <c r="B16" s="309"/>
      <c r="C16" s="309"/>
      <c r="D16" s="309"/>
      <c r="E16" s="309"/>
      <c r="F16" s="309"/>
      <c r="G16" s="309"/>
      <c r="H16" s="309"/>
      <c r="I16" s="309"/>
      <c r="J16" s="309"/>
      <c r="K16" s="309"/>
      <c r="L16" s="309"/>
      <c r="M16" s="309"/>
      <c r="N16" s="309"/>
      <c r="O16" s="309"/>
      <c r="P16" s="309"/>
      <c r="Q16" s="309"/>
      <c r="R16" s="309"/>
    </row>
    <row r="17" spans="1:18" x14ac:dyDescent="0.2">
      <c r="A17" s="309"/>
      <c r="B17" s="309"/>
      <c r="C17" s="309"/>
      <c r="D17" s="309"/>
      <c r="E17" s="309"/>
      <c r="F17" s="309"/>
      <c r="G17" s="309"/>
      <c r="H17" s="309"/>
      <c r="I17" s="309"/>
      <c r="J17" s="309"/>
      <c r="K17" s="309"/>
      <c r="L17" s="309"/>
      <c r="M17" s="309"/>
      <c r="N17" s="309"/>
      <c r="O17" s="309"/>
      <c r="P17" s="309"/>
      <c r="Q17" s="309"/>
      <c r="R17" s="309"/>
    </row>
    <row r="18" spans="1:18" x14ac:dyDescent="0.2">
      <c r="A18" s="309"/>
      <c r="B18" s="309"/>
      <c r="C18" s="309"/>
      <c r="D18" s="309"/>
      <c r="E18" s="309"/>
      <c r="F18" s="309"/>
      <c r="G18" s="309"/>
      <c r="H18" s="309"/>
      <c r="I18" s="309"/>
      <c r="J18" s="309"/>
      <c r="K18" s="309"/>
      <c r="L18" s="309"/>
      <c r="M18" s="309"/>
      <c r="N18" s="309"/>
      <c r="O18" s="309"/>
      <c r="P18" s="309"/>
      <c r="Q18" s="309"/>
      <c r="R18" s="309"/>
    </row>
    <row r="19" spans="1:18" x14ac:dyDescent="0.2">
      <c r="A19" s="309"/>
      <c r="B19" s="309"/>
      <c r="C19" s="309"/>
      <c r="D19" s="309"/>
      <c r="E19" s="309"/>
      <c r="F19" s="309"/>
      <c r="G19" s="309"/>
      <c r="H19" s="309"/>
      <c r="I19" s="309"/>
      <c r="J19" s="309"/>
      <c r="K19" s="309"/>
      <c r="L19" s="309"/>
      <c r="M19" s="309"/>
      <c r="N19" s="309"/>
      <c r="O19" s="309"/>
      <c r="P19" s="309"/>
      <c r="Q19" s="309"/>
      <c r="R19" s="309"/>
    </row>
    <row r="20" spans="1:18" x14ac:dyDescent="0.2">
      <c r="A20" s="309"/>
      <c r="B20" s="309"/>
      <c r="C20" s="309"/>
      <c r="D20" s="309"/>
      <c r="E20" s="309"/>
      <c r="F20" s="309"/>
      <c r="G20" s="309"/>
      <c r="H20" s="309"/>
      <c r="I20" s="309"/>
      <c r="J20" s="309"/>
      <c r="K20" s="309"/>
      <c r="L20" s="309"/>
      <c r="M20" s="309"/>
      <c r="N20" s="309"/>
      <c r="O20" s="309"/>
      <c r="P20" s="309"/>
      <c r="Q20" s="309"/>
      <c r="R20" s="309"/>
    </row>
    <row r="21" spans="1:18" x14ac:dyDescent="0.2">
      <c r="A21" s="309"/>
      <c r="B21" s="309"/>
      <c r="C21" s="309"/>
      <c r="D21" s="309"/>
      <c r="E21" s="309"/>
      <c r="F21" s="309"/>
      <c r="G21" s="309"/>
      <c r="H21" s="309"/>
      <c r="I21" s="309"/>
      <c r="J21" s="309"/>
      <c r="K21" s="309"/>
      <c r="L21" s="309"/>
      <c r="M21" s="309"/>
      <c r="N21" s="309"/>
      <c r="O21" s="309"/>
      <c r="P21" s="309"/>
      <c r="Q21" s="309"/>
      <c r="R21" s="309"/>
    </row>
    <row r="22" spans="1:18" x14ac:dyDescent="0.2">
      <c r="A22" s="309"/>
      <c r="B22" s="309"/>
      <c r="C22" s="309"/>
      <c r="D22" s="309"/>
      <c r="E22" s="309"/>
      <c r="F22" s="309"/>
      <c r="G22" s="309"/>
      <c r="H22" s="309"/>
      <c r="I22" s="309"/>
      <c r="J22" s="309"/>
      <c r="K22" s="309"/>
      <c r="L22" s="309"/>
      <c r="M22" s="309"/>
      <c r="N22" s="309"/>
      <c r="O22" s="309"/>
      <c r="P22" s="309"/>
      <c r="Q22" s="309"/>
      <c r="R22" s="309"/>
    </row>
    <row r="23" spans="1:18" x14ac:dyDescent="0.2">
      <c r="A23" s="309"/>
      <c r="B23" s="309"/>
      <c r="C23" s="309"/>
      <c r="D23" s="309"/>
      <c r="E23" s="309"/>
      <c r="F23" s="309"/>
      <c r="G23" s="309"/>
      <c r="H23" s="309"/>
      <c r="I23" s="309"/>
      <c r="J23" s="309"/>
      <c r="K23" s="309"/>
      <c r="L23" s="309"/>
      <c r="M23" s="309"/>
      <c r="N23" s="309"/>
      <c r="O23" s="309"/>
      <c r="P23" s="309"/>
      <c r="Q23" s="309"/>
      <c r="R23" s="309"/>
    </row>
    <row r="24" spans="1:18" x14ac:dyDescent="0.2">
      <c r="A24" s="309"/>
      <c r="B24" s="309"/>
      <c r="C24" s="309"/>
      <c r="D24" s="309"/>
      <c r="E24" s="309"/>
      <c r="F24" s="309"/>
      <c r="G24" s="309"/>
      <c r="H24" s="309"/>
      <c r="I24" s="309"/>
      <c r="J24" s="309"/>
      <c r="K24" s="309"/>
      <c r="L24" s="309"/>
      <c r="M24" s="309"/>
      <c r="N24" s="309"/>
      <c r="O24" s="309"/>
      <c r="P24" s="309"/>
      <c r="Q24" s="309"/>
      <c r="R24" s="312"/>
    </row>
    <row r="25" spans="1:18" x14ac:dyDescent="0.2">
      <c r="A25" s="309"/>
      <c r="B25" s="309"/>
      <c r="C25" s="309"/>
      <c r="D25" s="309"/>
      <c r="E25" s="309"/>
      <c r="F25" s="309"/>
      <c r="G25" s="309"/>
      <c r="H25" s="309"/>
      <c r="I25" s="309"/>
      <c r="J25" s="309"/>
      <c r="K25" s="309"/>
      <c r="L25" s="309"/>
      <c r="M25" s="309"/>
      <c r="N25" s="309"/>
      <c r="O25" s="309"/>
      <c r="P25" s="309"/>
      <c r="Q25" s="309"/>
      <c r="R25" s="312"/>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B65AE-7AFC-6D43-8336-631EF3C19F18}">
  <dimension ref="A1:R23"/>
  <sheetViews>
    <sheetView showGridLines="0" zoomScale="122" zoomScaleNormal="122" workbookViewId="0">
      <selection activeCell="D11" sqref="D11"/>
    </sheetView>
  </sheetViews>
  <sheetFormatPr baseColWidth="10" defaultRowHeight="16" x14ac:dyDescent="0.2"/>
  <cols>
    <col min="2" max="2" width="20.5" customWidth="1"/>
    <col min="3" max="3" width="25.83203125" customWidth="1"/>
    <col min="4" max="4" width="10.83203125" customWidth="1"/>
  </cols>
  <sheetData>
    <row r="1" spans="1:18" ht="25" x14ac:dyDescent="0.25">
      <c r="A1" s="290" t="s">
        <v>634</v>
      </c>
      <c r="C1" s="309"/>
      <c r="D1" s="309"/>
      <c r="E1" s="309"/>
      <c r="F1" s="309"/>
      <c r="G1" s="309"/>
      <c r="H1" s="309"/>
      <c r="I1" s="309"/>
      <c r="J1" s="309"/>
      <c r="K1" s="309"/>
      <c r="L1" s="309"/>
      <c r="M1" s="309"/>
      <c r="N1" s="309"/>
      <c r="O1" s="309"/>
      <c r="P1" s="309"/>
      <c r="Q1" s="309"/>
      <c r="R1" s="309"/>
    </row>
    <row r="2" spans="1:18" x14ac:dyDescent="0.2">
      <c r="A2" s="309"/>
      <c r="B2" s="309"/>
      <c r="C2" s="309"/>
      <c r="D2" s="309"/>
      <c r="E2" s="309"/>
      <c r="F2" s="309"/>
      <c r="G2" s="309"/>
      <c r="H2" s="309"/>
      <c r="I2" s="309"/>
      <c r="J2" s="309"/>
      <c r="K2" s="309"/>
      <c r="L2" s="309"/>
      <c r="M2" s="309"/>
      <c r="N2" s="309"/>
      <c r="O2" s="309"/>
      <c r="P2" s="309"/>
      <c r="Q2" s="309"/>
      <c r="R2" s="309"/>
    </row>
    <row r="3" spans="1:18" x14ac:dyDescent="0.2">
      <c r="A3" s="309"/>
      <c r="B3" s="289" t="s">
        <v>427</v>
      </c>
      <c r="C3" s="289"/>
      <c r="D3" s="252"/>
      <c r="E3" s="310"/>
      <c r="F3" s="309"/>
      <c r="G3" s="309"/>
      <c r="H3" s="309"/>
      <c r="I3" s="309"/>
      <c r="J3" s="309"/>
      <c r="K3" s="309"/>
      <c r="L3" s="309"/>
      <c r="M3" s="309"/>
      <c r="N3" s="309"/>
      <c r="O3" s="309"/>
      <c r="P3" s="309"/>
      <c r="Q3" s="309"/>
      <c r="R3" s="309"/>
    </row>
    <row r="4" spans="1:18" x14ac:dyDescent="0.2">
      <c r="A4" s="309"/>
      <c r="B4" s="288" t="s">
        <v>549</v>
      </c>
      <c r="C4" s="287">
        <v>46022</v>
      </c>
      <c r="D4" s="279"/>
      <c r="E4" s="311"/>
      <c r="F4" s="309"/>
      <c r="G4" s="309"/>
      <c r="H4" s="309"/>
      <c r="I4" s="309"/>
      <c r="J4" s="309"/>
      <c r="K4" s="309"/>
      <c r="L4" s="309"/>
      <c r="M4" s="309"/>
      <c r="N4" s="309"/>
      <c r="O4" s="309"/>
      <c r="P4" s="309"/>
      <c r="Q4" s="309"/>
      <c r="R4" s="309"/>
    </row>
    <row r="5" spans="1:18" x14ac:dyDescent="0.2">
      <c r="A5" s="309"/>
      <c r="B5" s="286" t="s">
        <v>279</v>
      </c>
      <c r="C5" s="293" t="s">
        <v>357</v>
      </c>
      <c r="D5" s="279"/>
      <c r="E5" s="309"/>
      <c r="F5" s="309"/>
      <c r="G5" s="309"/>
      <c r="H5" s="309"/>
      <c r="I5" s="309"/>
      <c r="J5" s="309"/>
      <c r="K5" s="309"/>
      <c r="L5" s="309"/>
      <c r="M5" s="309"/>
      <c r="N5" s="309"/>
      <c r="O5" s="309"/>
      <c r="P5" s="309"/>
      <c r="Q5" s="309"/>
      <c r="R5" s="309"/>
    </row>
    <row r="6" spans="1:18" x14ac:dyDescent="0.2">
      <c r="A6" s="309"/>
      <c r="B6" s="286" t="s">
        <v>548</v>
      </c>
      <c r="C6" s="285">
        <v>45978</v>
      </c>
      <c r="D6" s="279"/>
      <c r="E6" s="309"/>
      <c r="F6" s="309"/>
      <c r="G6" s="309"/>
      <c r="H6" s="309"/>
      <c r="I6" s="309"/>
      <c r="J6" s="309"/>
      <c r="K6" s="309"/>
      <c r="L6" s="309"/>
      <c r="M6" s="309"/>
      <c r="N6" s="309"/>
      <c r="O6" s="309"/>
      <c r="P6" s="309"/>
      <c r="Q6" s="309"/>
      <c r="R6" s="309"/>
    </row>
    <row r="7" spans="1:18" x14ac:dyDescent="0.2">
      <c r="A7" s="309"/>
      <c r="B7" s="284" t="s">
        <v>355</v>
      </c>
      <c r="C7" s="283" t="s">
        <v>601</v>
      </c>
      <c r="D7" s="279"/>
      <c r="E7" s="309"/>
      <c r="F7" s="309"/>
      <c r="G7" s="309"/>
      <c r="H7" s="309"/>
      <c r="I7" s="309"/>
      <c r="J7" s="37"/>
      <c r="K7" s="37"/>
      <c r="L7" s="309"/>
      <c r="M7" s="309"/>
      <c r="N7" s="309"/>
      <c r="O7" s="309"/>
      <c r="P7" s="309"/>
      <c r="Q7" s="309"/>
      <c r="R7" s="309"/>
    </row>
    <row r="8" spans="1:18" x14ac:dyDescent="0.2">
      <c r="A8" s="309"/>
      <c r="B8" s="313" t="s">
        <v>629</v>
      </c>
      <c r="C8" s="313"/>
      <c r="D8" s="314" t="s">
        <v>526</v>
      </c>
      <c r="E8" s="314" t="s">
        <v>630</v>
      </c>
      <c r="F8" s="314" t="s">
        <v>529</v>
      </c>
      <c r="G8" s="309"/>
      <c r="H8" s="313" t="s">
        <v>526</v>
      </c>
      <c r="I8" s="313" t="s">
        <v>529</v>
      </c>
      <c r="J8" s="309"/>
      <c r="K8" s="323" t="s">
        <v>308</v>
      </c>
      <c r="L8" s="323"/>
      <c r="O8" s="309"/>
      <c r="P8" s="309"/>
      <c r="Q8" s="309"/>
      <c r="R8" s="309"/>
    </row>
    <row r="9" spans="1:18" x14ac:dyDescent="0.2">
      <c r="A9" s="309"/>
      <c r="B9" s="309" t="str">
        <f>"Public comps EV/Sales range " &amp;TEXT(H9,"0.0x")&amp;"-"&amp;TEXT(I9,"0.0x")</f>
        <v>Public comps EV/Sales range 1.9x-2.2x</v>
      </c>
      <c r="C9" s="309"/>
      <c r="D9" s="143" t="e">
        <f>TAP_Comps!D31</f>
        <v>#REF!</v>
      </c>
      <c r="E9" s="315" t="e">
        <f>F9-D9</f>
        <v>#REF!</v>
      </c>
      <c r="F9" s="143" t="e">
        <f>TAP_Comps!D32</f>
        <v>#REF!</v>
      </c>
      <c r="G9" s="309"/>
      <c r="H9" s="325">
        <f>TAP_Comps!H31</f>
        <v>1.85</v>
      </c>
      <c r="I9" s="325">
        <f>TAP_Comps!H32</f>
        <v>2.1833333333333336</v>
      </c>
      <c r="J9" s="309"/>
      <c r="K9" s="311">
        <v>45.13</v>
      </c>
      <c r="L9" s="309"/>
      <c r="O9" s="309"/>
      <c r="P9" s="309"/>
      <c r="Q9" s="309"/>
      <c r="R9" s="309"/>
    </row>
    <row r="10" spans="1:18" x14ac:dyDescent="0.2">
      <c r="A10" s="309"/>
      <c r="B10" s="309" t="str">
        <f>"Public comps Forward PEG range " &amp;TEXT(H10,"0.0x")&amp;"-"&amp;TEXT(I10,"0.0x")</f>
        <v>Public comps Forward PEG range 8.5x-9.0x</v>
      </c>
      <c r="C10" s="309"/>
      <c r="D10" s="143">
        <f>TAP_Comps!D39</f>
        <v>45.991160934452921</v>
      </c>
      <c r="E10" s="315">
        <f>F10-D10</f>
        <v>2.4480091584610904</v>
      </c>
      <c r="F10" s="143">
        <f>TAP_Comps!D40</f>
        <v>48.439170092914011</v>
      </c>
      <c r="G10" s="309"/>
      <c r="H10" s="325">
        <f>TAP_Comps!O39</f>
        <v>8.5017674013703282</v>
      </c>
      <c r="I10" s="325">
        <f>TAP_Comps!O40</f>
        <v>8.9542979319938656</v>
      </c>
      <c r="J10" s="309"/>
      <c r="K10" s="311">
        <v>45.13</v>
      </c>
      <c r="L10" s="309"/>
      <c r="O10" s="309"/>
      <c r="P10" s="309"/>
      <c r="Q10" s="309"/>
      <c r="R10" s="309"/>
    </row>
    <row r="11" spans="1:18" x14ac:dyDescent="0.2">
      <c r="A11" s="309"/>
      <c r="B11" s="309" t="str">
        <f>"DCF w/ perpetuity growth range "   &amp;TEXT(H11,"0.0%")&amp;"-"&amp;TEXT(I11,"0.0%")</f>
        <v>DCF w/ perpetuity growth range 0.5%-4.0%</v>
      </c>
      <c r="C11" s="309"/>
      <c r="D11" s="143">
        <f>TAP_DCF!H146</f>
        <v>81.775834717401139</v>
      </c>
      <c r="E11" s="315">
        <f>F11-D11</f>
        <v>124.52481353844492</v>
      </c>
      <c r="F11" s="143">
        <f>TAP_DCF!H153</f>
        <v>206.30064825584606</v>
      </c>
      <c r="G11" s="309"/>
      <c r="H11" s="326">
        <f>TAP_DCF!C146</f>
        <v>5.0000000000000001E-3</v>
      </c>
      <c r="I11" s="326">
        <f>TAP_DCF!C153</f>
        <v>0.04</v>
      </c>
      <c r="J11" s="309"/>
      <c r="K11" s="311">
        <v>45.13</v>
      </c>
      <c r="L11" s="309"/>
      <c r="O11" s="309"/>
      <c r="P11" s="309"/>
      <c r="Q11" s="309"/>
      <c r="R11" s="309"/>
    </row>
    <row r="12" spans="1:18" x14ac:dyDescent="0.2">
      <c r="A12" s="309"/>
      <c r="B12" s="309" t="str">
        <f>"DCF w/ EBITDA exit multiple range " &amp;TEXT(H12,"0.0x")&amp;"-"&amp;TEXT(I12,"0.0x")</f>
        <v>DCF w/ EBITDA exit multiple range 4.6x-11.6x</v>
      </c>
      <c r="C12" s="309"/>
      <c r="D12" s="324">
        <f>TAP_DCF!E159</f>
        <v>39.891797788636197</v>
      </c>
      <c r="E12" s="315">
        <f>F12-D12</f>
        <v>64.192618613731867</v>
      </c>
      <c r="F12" s="143">
        <f>TAP_DCF!L159</f>
        <v>104.08441640236806</v>
      </c>
      <c r="G12" s="309"/>
      <c r="H12" s="325">
        <f>TAP_DCF!E158</f>
        <v>4.5999999999999996</v>
      </c>
      <c r="I12" s="325">
        <f>TAP_DCF!L158</f>
        <v>11.6</v>
      </c>
      <c r="J12" s="309"/>
      <c r="K12" s="311">
        <v>45.13</v>
      </c>
      <c r="L12" s="309"/>
      <c r="O12" s="309"/>
      <c r="P12" s="309"/>
      <c r="Q12" s="309"/>
      <c r="R12" s="309"/>
    </row>
    <row r="13" spans="1:18" x14ac:dyDescent="0.2">
      <c r="A13" s="309"/>
      <c r="B13" s="309" t="s">
        <v>631</v>
      </c>
      <c r="C13" s="309"/>
      <c r="D13" s="311">
        <v>42.94</v>
      </c>
      <c r="E13" s="315">
        <f>F13-D13</f>
        <v>21.72</v>
      </c>
      <c r="F13" s="311">
        <v>64.66</v>
      </c>
      <c r="G13" s="309"/>
      <c r="H13" s="309"/>
      <c r="I13" s="309"/>
      <c r="J13" s="309"/>
      <c r="K13" s="311">
        <v>45.13</v>
      </c>
      <c r="L13" s="309"/>
      <c r="O13" s="309"/>
      <c r="P13" s="309"/>
      <c r="Q13" s="309"/>
      <c r="R13" s="309"/>
    </row>
    <row r="14" spans="1:18" x14ac:dyDescent="0.2">
      <c r="A14" s="309"/>
      <c r="B14" s="309"/>
      <c r="C14" s="309"/>
      <c r="D14" s="309"/>
      <c r="E14" s="309"/>
      <c r="F14" s="309"/>
      <c r="G14" s="309"/>
      <c r="H14" s="309"/>
      <c r="I14" s="309"/>
      <c r="J14" s="309"/>
      <c r="K14" s="309"/>
      <c r="L14" s="309"/>
      <c r="M14" s="309"/>
      <c r="N14" s="309"/>
      <c r="O14" s="309"/>
      <c r="P14" s="309"/>
      <c r="Q14" s="309"/>
      <c r="R14" s="309"/>
    </row>
    <row r="15" spans="1:18" x14ac:dyDescent="0.2">
      <c r="A15" s="309"/>
      <c r="B15" s="309"/>
      <c r="C15" s="309"/>
      <c r="D15" s="309"/>
      <c r="E15" s="309"/>
      <c r="F15" s="309"/>
      <c r="G15" s="309"/>
      <c r="H15" s="309"/>
      <c r="I15" s="309"/>
      <c r="J15" s="309"/>
      <c r="K15" s="309"/>
      <c r="L15" s="309"/>
      <c r="M15" s="309"/>
      <c r="N15" s="309"/>
      <c r="O15" s="309"/>
      <c r="P15" s="309"/>
      <c r="Q15" s="309"/>
      <c r="R15" s="309"/>
    </row>
    <row r="16" spans="1:18" x14ac:dyDescent="0.2">
      <c r="A16" s="309"/>
      <c r="B16" s="309"/>
      <c r="C16" s="309"/>
      <c r="D16" s="309"/>
      <c r="E16" s="309"/>
      <c r="F16" s="309"/>
      <c r="G16" s="309"/>
      <c r="H16" s="309"/>
      <c r="I16" s="309"/>
      <c r="J16" s="309"/>
      <c r="K16" s="309"/>
      <c r="L16" s="309"/>
      <c r="M16" s="309"/>
      <c r="N16" s="309"/>
      <c r="O16" s="309"/>
      <c r="P16" s="309"/>
      <c r="Q16" s="309"/>
      <c r="R16" s="309"/>
    </row>
    <row r="17" spans="1:18" x14ac:dyDescent="0.2">
      <c r="A17" s="309"/>
      <c r="B17" s="309"/>
      <c r="C17" s="309"/>
      <c r="D17" s="309"/>
      <c r="E17" s="309"/>
      <c r="F17" s="309"/>
      <c r="G17" s="309"/>
      <c r="H17" s="309"/>
      <c r="I17" s="309"/>
      <c r="J17" s="309"/>
      <c r="K17" s="309"/>
      <c r="L17" s="309"/>
      <c r="M17" s="309"/>
      <c r="N17" s="309"/>
      <c r="O17" s="309"/>
      <c r="P17" s="309"/>
      <c r="Q17" s="309"/>
      <c r="R17" s="309"/>
    </row>
    <row r="18" spans="1:18" x14ac:dyDescent="0.2">
      <c r="A18" s="309"/>
      <c r="B18" s="309"/>
      <c r="C18" s="309"/>
      <c r="D18" s="309"/>
      <c r="E18" s="309"/>
      <c r="F18" s="309"/>
      <c r="G18" s="309"/>
      <c r="H18" s="309"/>
      <c r="I18" s="309"/>
      <c r="J18" s="309"/>
      <c r="K18" s="309"/>
      <c r="L18" s="309"/>
      <c r="M18" s="309"/>
      <c r="N18" s="309"/>
      <c r="O18" s="309"/>
      <c r="P18" s="309"/>
      <c r="Q18" s="309"/>
      <c r="R18" s="309"/>
    </row>
    <row r="19" spans="1:18" x14ac:dyDescent="0.2">
      <c r="A19" s="309"/>
      <c r="B19" s="309"/>
      <c r="C19" s="309"/>
      <c r="D19" s="309"/>
      <c r="E19" s="309"/>
      <c r="F19" s="309"/>
      <c r="G19" s="309"/>
      <c r="H19" s="309"/>
      <c r="I19" s="309"/>
      <c r="J19" s="309"/>
      <c r="K19" s="309"/>
      <c r="L19" s="309"/>
      <c r="M19" s="309"/>
      <c r="N19" s="309"/>
      <c r="O19" s="309"/>
      <c r="P19" s="309"/>
      <c r="Q19" s="309"/>
      <c r="R19" s="309"/>
    </row>
    <row r="20" spans="1:18" x14ac:dyDescent="0.2">
      <c r="A20" s="309"/>
      <c r="B20" s="309"/>
      <c r="C20" s="309"/>
      <c r="D20" s="309"/>
      <c r="E20" s="309"/>
      <c r="F20" s="309"/>
      <c r="G20" s="309"/>
      <c r="H20" s="309"/>
      <c r="I20" s="309"/>
      <c r="J20" s="309"/>
      <c r="K20" s="309"/>
      <c r="L20" s="309"/>
      <c r="M20" s="309"/>
      <c r="N20" s="309"/>
      <c r="O20" s="309"/>
      <c r="P20" s="309"/>
      <c r="Q20" s="309"/>
      <c r="R20" s="309"/>
    </row>
    <row r="21" spans="1:18" x14ac:dyDescent="0.2">
      <c r="A21" s="309"/>
      <c r="B21" s="309"/>
      <c r="C21" s="309"/>
      <c r="D21" s="309"/>
      <c r="E21" s="309"/>
      <c r="F21" s="309"/>
      <c r="G21" s="309"/>
      <c r="H21" s="309"/>
      <c r="I21" s="309"/>
      <c r="J21" s="309"/>
      <c r="K21" s="309"/>
      <c r="L21" s="309"/>
      <c r="M21" s="309"/>
      <c r="N21" s="309"/>
      <c r="O21" s="309"/>
      <c r="P21" s="309"/>
      <c r="Q21" s="309"/>
      <c r="R21" s="309"/>
    </row>
    <row r="22" spans="1:18" x14ac:dyDescent="0.2">
      <c r="A22" s="309"/>
      <c r="B22" s="309"/>
      <c r="C22" s="309"/>
      <c r="D22" s="309"/>
      <c r="E22" s="309"/>
      <c r="F22" s="309"/>
      <c r="G22" s="309"/>
      <c r="H22" s="309"/>
      <c r="I22" s="309"/>
      <c r="J22" s="309"/>
      <c r="K22" s="309"/>
      <c r="L22" s="309"/>
      <c r="M22" s="309"/>
      <c r="N22" s="309"/>
      <c r="O22" s="309"/>
      <c r="P22" s="309"/>
      <c r="Q22" s="309"/>
      <c r="R22" s="312"/>
    </row>
    <row r="23" spans="1:18" x14ac:dyDescent="0.2">
      <c r="A23" s="309"/>
      <c r="B23" s="309"/>
      <c r="C23" s="309"/>
      <c r="D23" s="309"/>
      <c r="E23" s="309"/>
      <c r="F23" s="309"/>
      <c r="G23" s="309"/>
      <c r="H23" s="309"/>
      <c r="I23" s="309"/>
      <c r="J23" s="309"/>
      <c r="K23" s="309"/>
      <c r="L23" s="309"/>
      <c r="M23" s="309"/>
      <c r="N23" s="309"/>
      <c r="O23" s="309"/>
      <c r="P23" s="309"/>
      <c r="Q23" s="309"/>
      <c r="R23" s="312"/>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2B00B-F0D9-454A-B9F8-8450CC438C58}">
  <sheetPr codeName="Sheet2">
    <outlinePr summaryBelow="0" summaryRight="0"/>
    <pageSetUpPr autoPageBreaks="0"/>
  </sheetPr>
  <dimension ref="A1:IT116"/>
  <sheetViews>
    <sheetView zoomScale="159" workbookViewId="0">
      <selection sqref="A1:XFD1048576"/>
    </sheetView>
  </sheetViews>
  <sheetFormatPr baseColWidth="10" defaultColWidth="10.83203125" defaultRowHeight="11" x14ac:dyDescent="0.15"/>
  <cols>
    <col min="1" max="1" width="45.83203125" style="1" customWidth="1"/>
    <col min="2" max="6" width="14.83203125" style="1" customWidth="1"/>
    <col min="7" max="255" width="8.83203125" style="1" customWidth="1"/>
    <col min="256" max="16384" width="10.83203125" style="1"/>
  </cols>
  <sheetData>
    <row r="1" spans="1:254" ht="17" x14ac:dyDescent="0.2">
      <c r="A1" s="23" t="s">
        <v>118</v>
      </c>
    </row>
    <row r="3" spans="1:254" ht="12" x14ac:dyDescent="0.15">
      <c r="A3" s="22" t="s">
        <v>117</v>
      </c>
      <c r="B3" s="20" t="s">
        <v>116</v>
      </c>
      <c r="C3" s="1" t="s">
        <v>115</v>
      </c>
      <c r="D3" s="5" t="s">
        <v>98</v>
      </c>
      <c r="E3" s="20" t="s">
        <v>114</v>
      </c>
      <c r="F3" s="1" t="s">
        <v>113</v>
      </c>
    </row>
    <row r="4" spans="1:254" x14ac:dyDescent="0.15">
      <c r="A4" s="5"/>
      <c r="B4" s="20" t="s">
        <v>112</v>
      </c>
      <c r="C4" s="1" t="s">
        <v>111</v>
      </c>
      <c r="D4" s="5" t="s">
        <v>98</v>
      </c>
      <c r="E4" s="20" t="s">
        <v>110</v>
      </c>
      <c r="F4" s="1" t="s">
        <v>109</v>
      </c>
    </row>
    <row r="5" spans="1:254" x14ac:dyDescent="0.15">
      <c r="A5" s="5"/>
      <c r="B5" s="20" t="s">
        <v>108</v>
      </c>
      <c r="C5" s="1" t="s">
        <v>107</v>
      </c>
      <c r="D5" s="5" t="s">
        <v>98</v>
      </c>
      <c r="E5" s="20" t="s">
        <v>106</v>
      </c>
      <c r="F5" s="1" t="s">
        <v>105</v>
      </c>
    </row>
    <row r="6" spans="1:254" x14ac:dyDescent="0.15">
      <c r="A6" s="5"/>
      <c r="B6" s="20" t="s">
        <v>104</v>
      </c>
      <c r="C6" s="1" t="s">
        <v>103</v>
      </c>
      <c r="D6" s="5" t="s">
        <v>98</v>
      </c>
      <c r="E6" s="20" t="s">
        <v>102</v>
      </c>
      <c r="F6" s="21" t="s">
        <v>101</v>
      </c>
    </row>
    <row r="7" spans="1:254" x14ac:dyDescent="0.15">
      <c r="A7" s="5"/>
      <c r="B7" s="20" t="s">
        <v>100</v>
      </c>
      <c r="C7" s="1" t="s">
        <v>99</v>
      </c>
      <c r="D7" s="5" t="s">
        <v>98</v>
      </c>
      <c r="E7" s="19"/>
      <c r="F7" s="19"/>
    </row>
    <row r="10" spans="1:254" x14ac:dyDescent="0.15">
      <c r="A10" s="18" t="s">
        <v>97</v>
      </c>
      <c r="B10" s="18"/>
      <c r="C10" s="18"/>
      <c r="D10" s="18"/>
      <c r="E10" s="18"/>
      <c r="F10" s="18"/>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row>
    <row r="11" spans="1:254" ht="24" x14ac:dyDescent="0.15">
      <c r="A11" s="27" t="s">
        <v>96</v>
      </c>
      <c r="B11" s="28">
        <v>2020</v>
      </c>
      <c r="C11" s="28">
        <f>B11+1</f>
        <v>2021</v>
      </c>
      <c r="D11" s="28">
        <f t="shared" ref="D11:F11" si="0">C11+1</f>
        <v>2022</v>
      </c>
      <c r="E11" s="28">
        <f t="shared" si="0"/>
        <v>2023</v>
      </c>
      <c r="F11" s="28">
        <f t="shared" si="0"/>
        <v>2024</v>
      </c>
    </row>
    <row r="12" spans="1:254" ht="12" x14ac:dyDescent="0.15">
      <c r="A12" s="29" t="s">
        <v>89</v>
      </c>
      <c r="B12" s="30" t="s">
        <v>88</v>
      </c>
      <c r="C12" s="30" t="s">
        <v>88</v>
      </c>
      <c r="D12" s="30" t="s">
        <v>88</v>
      </c>
      <c r="E12" s="30" t="s">
        <v>88</v>
      </c>
      <c r="F12" s="30" t="s">
        <v>88</v>
      </c>
    </row>
    <row r="13" spans="1:254" x14ac:dyDescent="0.15">
      <c r="A13" s="5" t="s">
        <v>87</v>
      </c>
      <c r="B13" s="8">
        <v>9654</v>
      </c>
      <c r="C13" s="8">
        <v>10279.700000000001</v>
      </c>
      <c r="D13" s="8">
        <v>10701</v>
      </c>
      <c r="E13" s="8">
        <v>11702.1</v>
      </c>
      <c r="F13" s="8">
        <v>11627</v>
      </c>
    </row>
    <row r="14" spans="1:254" ht="12" x14ac:dyDescent="0.15">
      <c r="A14" s="5" t="s">
        <v>86</v>
      </c>
      <c r="B14" s="8" t="s">
        <v>4</v>
      </c>
      <c r="C14" s="8" t="s">
        <v>4</v>
      </c>
      <c r="D14" s="8" t="s">
        <v>4</v>
      </c>
      <c r="E14" s="8" t="s">
        <v>4</v>
      </c>
      <c r="F14" s="8" t="s">
        <v>4</v>
      </c>
    </row>
    <row r="15" spans="1:254" x14ac:dyDescent="0.15">
      <c r="A15" s="7" t="s">
        <v>85</v>
      </c>
      <c r="B15" s="16">
        <v>9654</v>
      </c>
      <c r="C15" s="16">
        <v>10279.700000000001</v>
      </c>
      <c r="D15" s="16">
        <v>10701</v>
      </c>
      <c r="E15" s="16">
        <v>11702.1</v>
      </c>
      <c r="F15" s="16">
        <v>11627</v>
      </c>
    </row>
    <row r="16" spans="1:254" x14ac:dyDescent="0.15">
      <c r="A16" s="5"/>
      <c r="B16" s="5"/>
      <c r="C16" s="5"/>
      <c r="D16" s="5"/>
      <c r="E16" s="5"/>
      <c r="F16" s="5"/>
    </row>
    <row r="17" spans="1:6" x14ac:dyDescent="0.15">
      <c r="A17" s="5" t="s">
        <v>84</v>
      </c>
      <c r="B17" s="8">
        <v>5858.1</v>
      </c>
      <c r="C17" s="8">
        <v>6226.3</v>
      </c>
      <c r="D17" s="8">
        <v>7045.8</v>
      </c>
      <c r="E17" s="8">
        <v>7333.3</v>
      </c>
      <c r="F17" s="8">
        <v>7093.6</v>
      </c>
    </row>
    <row r="18" spans="1:6" x14ac:dyDescent="0.15">
      <c r="A18" s="7" t="s">
        <v>83</v>
      </c>
      <c r="B18" s="16">
        <v>3795.9</v>
      </c>
      <c r="C18" s="16">
        <v>4053.4</v>
      </c>
      <c r="D18" s="16">
        <v>3655.2</v>
      </c>
      <c r="E18" s="16">
        <v>4368.8</v>
      </c>
      <c r="F18" s="16">
        <v>4533.3999999999996</v>
      </c>
    </row>
    <row r="19" spans="1:6" x14ac:dyDescent="0.15">
      <c r="A19" s="5"/>
      <c r="B19" s="5"/>
      <c r="C19" s="5"/>
      <c r="D19" s="5"/>
      <c r="E19" s="5"/>
      <c r="F19" s="5"/>
    </row>
    <row r="20" spans="1:6" x14ac:dyDescent="0.15">
      <c r="A20" s="5" t="s">
        <v>82</v>
      </c>
      <c r="B20" s="8">
        <v>2186.6999999999998</v>
      </c>
      <c r="C20" s="8">
        <v>2290.1</v>
      </c>
      <c r="D20" s="8">
        <v>2318.1</v>
      </c>
      <c r="E20" s="8">
        <v>2562.4</v>
      </c>
      <c r="F20" s="8">
        <v>2516.1</v>
      </c>
    </row>
    <row r="21" spans="1:6" ht="12" x14ac:dyDescent="0.15">
      <c r="A21" s="5" t="s">
        <v>81</v>
      </c>
      <c r="B21" s="8" t="s">
        <v>4</v>
      </c>
      <c r="C21" s="8" t="s">
        <v>4</v>
      </c>
      <c r="D21" s="8" t="s">
        <v>4</v>
      </c>
      <c r="E21" s="8" t="s">
        <v>4</v>
      </c>
      <c r="F21" s="8" t="s">
        <v>4</v>
      </c>
    </row>
    <row r="22" spans="1:6" ht="12" x14ac:dyDescent="0.15">
      <c r="A22" s="5" t="s">
        <v>80</v>
      </c>
      <c r="B22" s="8" t="s">
        <v>4</v>
      </c>
      <c r="C22" s="8" t="s">
        <v>4</v>
      </c>
      <c r="D22" s="8" t="s">
        <v>4</v>
      </c>
      <c r="E22" s="8" t="s">
        <v>4</v>
      </c>
      <c r="F22" s="8" t="s">
        <v>4</v>
      </c>
    </row>
    <row r="23" spans="1:6" x14ac:dyDescent="0.15">
      <c r="A23" s="5" t="s">
        <v>79</v>
      </c>
      <c r="B23" s="8">
        <v>220</v>
      </c>
      <c r="C23" s="8">
        <v>218</v>
      </c>
      <c r="D23" s="8">
        <v>208.1</v>
      </c>
      <c r="E23" s="8">
        <v>207.3</v>
      </c>
      <c r="F23" s="8">
        <v>206.4</v>
      </c>
    </row>
    <row r="24" spans="1:6" ht="12" x14ac:dyDescent="0.15">
      <c r="A24" s="5" t="s">
        <v>78</v>
      </c>
      <c r="B24" s="8" t="s">
        <v>4</v>
      </c>
      <c r="C24" s="8" t="s">
        <v>4</v>
      </c>
      <c r="D24" s="8" t="s">
        <v>4</v>
      </c>
      <c r="E24" s="8" t="s">
        <v>4</v>
      </c>
      <c r="F24" s="8" t="s">
        <v>4</v>
      </c>
    </row>
    <row r="25" spans="1:6" x14ac:dyDescent="0.15">
      <c r="A25" s="5"/>
      <c r="B25" s="5"/>
      <c r="C25" s="5"/>
      <c r="D25" s="5"/>
      <c r="E25" s="5"/>
      <c r="F25" s="5"/>
    </row>
    <row r="26" spans="1:6" x14ac:dyDescent="0.15">
      <c r="A26" s="7" t="s">
        <v>77</v>
      </c>
      <c r="B26" s="16">
        <v>2406.6999999999998</v>
      </c>
      <c r="C26" s="16">
        <v>2508.1</v>
      </c>
      <c r="D26" s="16">
        <v>2526.1999999999998</v>
      </c>
      <c r="E26" s="16">
        <v>2769.7</v>
      </c>
      <c r="F26" s="16">
        <v>2722.5</v>
      </c>
    </row>
    <row r="27" spans="1:6" x14ac:dyDescent="0.15">
      <c r="A27" s="5"/>
      <c r="B27" s="5"/>
      <c r="C27" s="5"/>
      <c r="D27" s="5"/>
      <c r="E27" s="5"/>
      <c r="F27" s="5"/>
    </row>
    <row r="28" spans="1:6" x14ac:dyDescent="0.15">
      <c r="A28" s="7" t="s">
        <v>76</v>
      </c>
      <c r="B28" s="6">
        <v>1389.2</v>
      </c>
      <c r="C28" s="6">
        <v>1545.3</v>
      </c>
      <c r="D28" s="6">
        <v>1129</v>
      </c>
      <c r="E28" s="6">
        <v>1599.1</v>
      </c>
      <c r="F28" s="6">
        <v>1810.9</v>
      </c>
    </row>
    <row r="29" spans="1:6" x14ac:dyDescent="0.15">
      <c r="A29" s="5"/>
      <c r="B29" s="5"/>
      <c r="C29" s="5"/>
      <c r="D29" s="5"/>
      <c r="E29" s="5"/>
      <c r="F29" s="5"/>
    </row>
    <row r="30" spans="1:6" x14ac:dyDescent="0.15">
      <c r="A30" s="5" t="s">
        <v>75</v>
      </c>
      <c r="B30" s="8">
        <v>-274.60000000000002</v>
      </c>
      <c r="C30" s="8">
        <v>-260.3</v>
      </c>
      <c r="D30" s="8">
        <v>-250.6</v>
      </c>
      <c r="E30" s="8">
        <v>-234</v>
      </c>
      <c r="F30" s="8">
        <v>-282.7</v>
      </c>
    </row>
    <row r="31" spans="1:6" x14ac:dyDescent="0.15">
      <c r="A31" s="5" t="s">
        <v>74</v>
      </c>
      <c r="B31" s="8">
        <v>3.3</v>
      </c>
      <c r="C31" s="8">
        <v>2</v>
      </c>
      <c r="D31" s="8">
        <v>4.3</v>
      </c>
      <c r="E31" s="8">
        <v>25.4</v>
      </c>
      <c r="F31" s="8">
        <v>35.4</v>
      </c>
    </row>
    <row r="32" spans="1:6" x14ac:dyDescent="0.15">
      <c r="A32" s="7" t="s">
        <v>73</v>
      </c>
      <c r="B32" s="16">
        <v>-271.3</v>
      </c>
      <c r="C32" s="16">
        <v>-258.3</v>
      </c>
      <c r="D32" s="16">
        <v>-246.3</v>
      </c>
      <c r="E32" s="16">
        <v>-208.6</v>
      </c>
      <c r="F32" s="16">
        <v>-247.3</v>
      </c>
    </row>
    <row r="33" spans="1:6" x14ac:dyDescent="0.15">
      <c r="A33" s="5"/>
      <c r="B33" s="5"/>
      <c r="C33" s="5"/>
      <c r="D33" s="5"/>
      <c r="E33" s="5"/>
      <c r="F33" s="5"/>
    </row>
    <row r="34" spans="1:6" ht="12" x14ac:dyDescent="0.15">
      <c r="A34" s="5" t="s">
        <v>72</v>
      </c>
      <c r="B34" s="8" t="s">
        <v>4</v>
      </c>
      <c r="C34" s="8" t="s">
        <v>4</v>
      </c>
      <c r="D34" s="8">
        <v>4.7</v>
      </c>
      <c r="E34" s="8">
        <v>12</v>
      </c>
      <c r="F34" s="8">
        <v>2.7</v>
      </c>
    </row>
    <row r="35" spans="1:6" ht="12" x14ac:dyDescent="0.15">
      <c r="A35" s="5" t="s">
        <v>71</v>
      </c>
      <c r="B35" s="8" t="s">
        <v>4</v>
      </c>
      <c r="C35" s="8">
        <v>0.8</v>
      </c>
      <c r="D35" s="8">
        <v>-0.4</v>
      </c>
      <c r="E35" s="8">
        <v>-3.7</v>
      </c>
      <c r="F35" s="8">
        <v>-0.7</v>
      </c>
    </row>
    <row r="36" spans="1:6" x14ac:dyDescent="0.15">
      <c r="A36" s="5" t="s">
        <v>70</v>
      </c>
      <c r="B36" s="8">
        <v>8.4</v>
      </c>
      <c r="C36" s="8">
        <v>-4</v>
      </c>
      <c r="D36" s="8">
        <v>-9.9</v>
      </c>
      <c r="E36" s="8">
        <v>16.399999999999999</v>
      </c>
      <c r="F36" s="8">
        <v>2.8</v>
      </c>
    </row>
    <row r="37" spans="1:6" x14ac:dyDescent="0.15">
      <c r="A37" s="7" t="s">
        <v>69</v>
      </c>
      <c r="B37" s="16">
        <v>1126.3</v>
      </c>
      <c r="C37" s="16">
        <v>1283.8</v>
      </c>
      <c r="D37" s="16">
        <v>877.1</v>
      </c>
      <c r="E37" s="16">
        <v>1415.2</v>
      </c>
      <c r="F37" s="16">
        <v>1568.4</v>
      </c>
    </row>
    <row r="38" spans="1:6" x14ac:dyDescent="0.15">
      <c r="A38" s="5"/>
      <c r="B38" s="5"/>
      <c r="C38" s="5"/>
      <c r="D38" s="5"/>
      <c r="E38" s="5"/>
      <c r="F38" s="5"/>
    </row>
    <row r="39" spans="1:6" x14ac:dyDescent="0.15">
      <c r="A39" s="5" t="s">
        <v>68</v>
      </c>
      <c r="B39" s="8">
        <v>-187.1</v>
      </c>
      <c r="C39" s="8">
        <v>-37.6</v>
      </c>
      <c r="D39" s="8">
        <v>-9.1</v>
      </c>
      <c r="E39" s="8">
        <v>-4.0999999999999996</v>
      </c>
      <c r="F39" s="8">
        <v>-200.4</v>
      </c>
    </row>
    <row r="40" spans="1:6" ht="12" x14ac:dyDescent="0.15">
      <c r="A40" s="5" t="s">
        <v>67</v>
      </c>
      <c r="B40" s="8" t="s">
        <v>4</v>
      </c>
      <c r="C40" s="8" t="s">
        <v>4</v>
      </c>
      <c r="D40" s="8" t="s">
        <v>4</v>
      </c>
      <c r="E40" s="8" t="s">
        <v>4</v>
      </c>
      <c r="F40" s="8" t="s">
        <v>4</v>
      </c>
    </row>
    <row r="41" spans="1:6" ht="12" x14ac:dyDescent="0.15">
      <c r="A41" s="5" t="s">
        <v>66</v>
      </c>
      <c r="B41" s="8">
        <v>-1484.3</v>
      </c>
      <c r="C41" s="8" t="s">
        <v>4</v>
      </c>
      <c r="D41" s="8">
        <v>-845</v>
      </c>
      <c r="E41" s="8" t="s">
        <v>4</v>
      </c>
      <c r="F41" s="8" t="s">
        <v>4</v>
      </c>
    </row>
    <row r="42" spans="1:6" ht="12" x14ac:dyDescent="0.15">
      <c r="A42" s="5" t="s">
        <v>65</v>
      </c>
      <c r="B42" s="8">
        <v>-2.4</v>
      </c>
      <c r="C42" s="8">
        <v>-0.3</v>
      </c>
      <c r="D42" s="8" t="s">
        <v>4</v>
      </c>
      <c r="E42" s="8" t="s">
        <v>4</v>
      </c>
      <c r="F42" s="8">
        <v>77.900000000000006</v>
      </c>
    </row>
    <row r="43" spans="1:6" x14ac:dyDescent="0.15">
      <c r="A43" s="5" t="s">
        <v>64</v>
      </c>
      <c r="B43" s="8">
        <v>2.7</v>
      </c>
      <c r="C43" s="8">
        <v>6.6</v>
      </c>
      <c r="D43" s="8">
        <v>6.8</v>
      </c>
      <c r="E43" s="8">
        <v>2.2000000000000002</v>
      </c>
      <c r="F43" s="8">
        <v>57.1</v>
      </c>
    </row>
    <row r="44" spans="1:6" ht="12" x14ac:dyDescent="0.15">
      <c r="A44" s="5" t="s">
        <v>63</v>
      </c>
      <c r="B44" s="8">
        <v>-71.5</v>
      </c>
      <c r="C44" s="8">
        <v>-13.5</v>
      </c>
      <c r="D44" s="8">
        <v>-36.299999999999997</v>
      </c>
      <c r="E44" s="8">
        <v>-160.80000000000001</v>
      </c>
      <c r="F44" s="8" t="s">
        <v>4</v>
      </c>
    </row>
    <row r="45" spans="1:6" ht="12" x14ac:dyDescent="0.15">
      <c r="A45" s="5" t="s">
        <v>62</v>
      </c>
      <c r="B45" s="8" t="s">
        <v>4</v>
      </c>
      <c r="C45" s="8" t="s">
        <v>4</v>
      </c>
      <c r="D45" s="8">
        <v>-56</v>
      </c>
      <c r="E45" s="8" t="s">
        <v>4</v>
      </c>
      <c r="F45" s="8" t="s">
        <v>4</v>
      </c>
    </row>
    <row r="46" spans="1:6" ht="12" x14ac:dyDescent="0.15">
      <c r="A46" s="5" t="s">
        <v>61</v>
      </c>
      <c r="B46" s="8">
        <v>-27.6</v>
      </c>
      <c r="C46" s="8" t="s">
        <v>4</v>
      </c>
      <c r="D46" s="8" t="s">
        <v>4</v>
      </c>
      <c r="E46" s="8" t="s">
        <v>4</v>
      </c>
      <c r="F46" s="8" t="s">
        <v>4</v>
      </c>
    </row>
    <row r="47" spans="1:6" x14ac:dyDescent="0.15">
      <c r="A47" s="7" t="s">
        <v>60</v>
      </c>
      <c r="B47" s="16">
        <v>-643.9</v>
      </c>
      <c r="C47" s="16">
        <v>1239</v>
      </c>
      <c r="D47" s="16">
        <v>-62.5</v>
      </c>
      <c r="E47" s="16">
        <v>1252.5</v>
      </c>
      <c r="F47" s="16">
        <v>1503</v>
      </c>
    </row>
    <row r="48" spans="1:6" x14ac:dyDescent="0.15">
      <c r="A48" s="5"/>
      <c r="B48" s="5"/>
      <c r="C48" s="5"/>
      <c r="D48" s="5"/>
      <c r="E48" s="5"/>
      <c r="F48" s="5"/>
    </row>
    <row r="49" spans="1:6" x14ac:dyDescent="0.15">
      <c r="A49" s="5" t="s">
        <v>59</v>
      </c>
      <c r="B49" s="8">
        <v>301.8</v>
      </c>
      <c r="C49" s="8">
        <v>230.5</v>
      </c>
      <c r="D49" s="8">
        <v>124</v>
      </c>
      <c r="E49" s="8">
        <v>296.10000000000002</v>
      </c>
      <c r="F49" s="8">
        <v>345.3</v>
      </c>
    </row>
    <row r="50" spans="1:6" x14ac:dyDescent="0.15">
      <c r="A50" s="7" t="s">
        <v>58</v>
      </c>
      <c r="B50" s="16">
        <v>-945.7</v>
      </c>
      <c r="C50" s="16">
        <v>1008.5</v>
      </c>
      <c r="D50" s="16">
        <v>-186.5</v>
      </c>
      <c r="E50" s="16">
        <v>956.4</v>
      </c>
      <c r="F50" s="16">
        <v>1157.7</v>
      </c>
    </row>
    <row r="51" spans="1:6" x14ac:dyDescent="0.15">
      <c r="A51" s="5"/>
      <c r="B51" s="5"/>
      <c r="C51" s="5"/>
      <c r="D51" s="5"/>
      <c r="E51" s="5"/>
      <c r="F51" s="5"/>
    </row>
    <row r="52" spans="1:6" ht="12" x14ac:dyDescent="0.15">
      <c r="A52" s="5" t="s">
        <v>57</v>
      </c>
      <c r="B52" s="8" t="s">
        <v>4</v>
      </c>
      <c r="C52" s="8" t="s">
        <v>4</v>
      </c>
      <c r="D52" s="8" t="s">
        <v>4</v>
      </c>
      <c r="E52" s="8" t="s">
        <v>4</v>
      </c>
      <c r="F52" s="8" t="s">
        <v>4</v>
      </c>
    </row>
    <row r="53" spans="1:6" ht="12" x14ac:dyDescent="0.15">
      <c r="A53" s="5" t="s">
        <v>56</v>
      </c>
      <c r="B53" s="8" t="s">
        <v>4</v>
      </c>
      <c r="C53" s="8" t="s">
        <v>4</v>
      </c>
      <c r="D53" s="8" t="s">
        <v>4</v>
      </c>
      <c r="E53" s="8" t="s">
        <v>4</v>
      </c>
      <c r="F53" s="8" t="s">
        <v>4</v>
      </c>
    </row>
    <row r="54" spans="1:6" x14ac:dyDescent="0.15">
      <c r="A54" s="7" t="s">
        <v>55</v>
      </c>
      <c r="B54" s="16">
        <v>-945.7</v>
      </c>
      <c r="C54" s="16">
        <v>1008.5</v>
      </c>
      <c r="D54" s="16">
        <v>-186.5</v>
      </c>
      <c r="E54" s="16">
        <v>956.4</v>
      </c>
      <c r="F54" s="16">
        <v>1157.7</v>
      </c>
    </row>
    <row r="55" spans="1:6" x14ac:dyDescent="0.15">
      <c r="A55" s="5"/>
      <c r="B55" s="5"/>
      <c r="C55" s="5"/>
      <c r="D55" s="5"/>
      <c r="E55" s="5"/>
      <c r="F55" s="5"/>
    </row>
    <row r="56" spans="1:6" x14ac:dyDescent="0.15">
      <c r="A56" s="5" t="s">
        <v>54</v>
      </c>
      <c r="B56" s="8">
        <v>-3.3</v>
      </c>
      <c r="C56" s="8">
        <v>-2.8</v>
      </c>
      <c r="D56" s="8">
        <v>11.2</v>
      </c>
      <c r="E56" s="8">
        <v>-7.5</v>
      </c>
      <c r="F56" s="8">
        <v>-35.299999999999997</v>
      </c>
    </row>
    <row r="57" spans="1:6" x14ac:dyDescent="0.15">
      <c r="A57" s="7" t="s">
        <v>53</v>
      </c>
      <c r="B57" s="15">
        <v>-949</v>
      </c>
      <c r="C57" s="15">
        <v>1005.7</v>
      </c>
      <c r="D57" s="15">
        <v>-175.3</v>
      </c>
      <c r="E57" s="15">
        <v>948.9</v>
      </c>
      <c r="F57" s="15">
        <v>1122.4000000000001</v>
      </c>
    </row>
    <row r="58" spans="1:6" x14ac:dyDescent="0.15">
      <c r="A58" s="5"/>
      <c r="B58" s="5"/>
      <c r="C58" s="5"/>
      <c r="D58" s="5"/>
      <c r="E58" s="5"/>
      <c r="F58" s="5"/>
    </row>
    <row r="59" spans="1:6" ht="12" x14ac:dyDescent="0.15">
      <c r="A59" s="5" t="s">
        <v>52</v>
      </c>
      <c r="B59" s="8" t="s">
        <v>4</v>
      </c>
      <c r="C59" s="8" t="s">
        <v>4</v>
      </c>
      <c r="D59" s="8" t="s">
        <v>4</v>
      </c>
      <c r="E59" s="8" t="s">
        <v>4</v>
      </c>
      <c r="F59" s="8" t="s">
        <v>4</v>
      </c>
    </row>
    <row r="60" spans="1:6" x14ac:dyDescent="0.15">
      <c r="A60" s="5"/>
      <c r="B60" s="5"/>
      <c r="C60" s="5"/>
      <c r="D60" s="5"/>
      <c r="E60" s="5"/>
      <c r="F60" s="5"/>
    </row>
    <row r="61" spans="1:6" x14ac:dyDescent="0.15">
      <c r="A61" s="7" t="s">
        <v>51</v>
      </c>
      <c r="B61" s="6">
        <v>-949</v>
      </c>
      <c r="C61" s="6">
        <v>1005.7</v>
      </c>
      <c r="D61" s="6">
        <v>-175.3</v>
      </c>
      <c r="E61" s="6">
        <v>948.9</v>
      </c>
      <c r="F61" s="6">
        <v>1122.4000000000001</v>
      </c>
    </row>
    <row r="62" spans="1:6" x14ac:dyDescent="0.15">
      <c r="A62" s="7" t="s">
        <v>50</v>
      </c>
      <c r="B62" s="6">
        <v>-949</v>
      </c>
      <c r="C62" s="6">
        <v>1005.7</v>
      </c>
      <c r="D62" s="6">
        <v>-175.3</v>
      </c>
      <c r="E62" s="6">
        <v>948.9</v>
      </c>
      <c r="F62" s="6">
        <v>1122.4000000000001</v>
      </c>
    </row>
    <row r="63" spans="1:6" x14ac:dyDescent="0.15">
      <c r="A63" s="5"/>
      <c r="B63" s="5"/>
      <c r="C63" s="5"/>
      <c r="D63" s="5"/>
      <c r="E63" s="5"/>
      <c r="F63" s="5"/>
    </row>
    <row r="64" spans="1:6" x14ac:dyDescent="0.15">
      <c r="A64" s="7" t="s">
        <v>49</v>
      </c>
      <c r="B64" s="5"/>
      <c r="C64" s="5"/>
      <c r="D64" s="5"/>
      <c r="E64" s="5"/>
      <c r="F64" s="5"/>
    </row>
    <row r="65" spans="1:6" x14ac:dyDescent="0.15">
      <c r="A65" s="5" t="s">
        <v>48</v>
      </c>
      <c r="B65" s="13">
        <v>-4.38</v>
      </c>
      <c r="C65" s="13">
        <v>4.63</v>
      </c>
      <c r="D65" s="13">
        <v>-0.81</v>
      </c>
      <c r="E65" s="13">
        <v>4.3899999999999997</v>
      </c>
      <c r="F65" s="13">
        <v>5.38</v>
      </c>
    </row>
    <row r="66" spans="1:6" x14ac:dyDescent="0.15">
      <c r="A66" s="5" t="s">
        <v>47</v>
      </c>
      <c r="B66" s="14">
        <v>-4.38</v>
      </c>
      <c r="C66" s="14">
        <v>4.6324269999999999</v>
      </c>
      <c r="D66" s="14">
        <v>-0.81</v>
      </c>
      <c r="E66" s="14">
        <v>4.3930550000000004</v>
      </c>
      <c r="F66" s="14">
        <v>5.3754780000000002</v>
      </c>
    </row>
    <row r="67" spans="1:6" x14ac:dyDescent="0.15">
      <c r="A67" s="5" t="s">
        <v>46</v>
      </c>
      <c r="B67" s="8">
        <v>216.8</v>
      </c>
      <c r="C67" s="8">
        <v>217.1</v>
      </c>
      <c r="D67" s="8">
        <v>216.9</v>
      </c>
      <c r="E67" s="8">
        <v>216</v>
      </c>
      <c r="F67" s="8">
        <v>208.8</v>
      </c>
    </row>
    <row r="68" spans="1:6" x14ac:dyDescent="0.15">
      <c r="A68" s="5"/>
      <c r="B68" s="5"/>
      <c r="C68" s="5"/>
      <c r="D68" s="5"/>
      <c r="E68" s="5"/>
      <c r="F68" s="5"/>
    </row>
    <row r="69" spans="1:6" x14ac:dyDescent="0.15">
      <c r="A69" s="5" t="s">
        <v>45</v>
      </c>
      <c r="B69" s="13">
        <v>-4.38</v>
      </c>
      <c r="C69" s="13">
        <v>4.62</v>
      </c>
      <c r="D69" s="13">
        <v>-0.81</v>
      </c>
      <c r="E69" s="13">
        <v>4.37</v>
      </c>
      <c r="F69" s="13">
        <v>5.35</v>
      </c>
    </row>
    <row r="70" spans="1:6" x14ac:dyDescent="0.15">
      <c r="A70" s="5" t="s">
        <v>44</v>
      </c>
      <c r="B70" s="14">
        <v>-4.38</v>
      </c>
      <c r="C70" s="14">
        <v>4.62</v>
      </c>
      <c r="D70" s="14">
        <v>-0.81</v>
      </c>
      <c r="E70" s="14">
        <v>4.37</v>
      </c>
      <c r="F70" s="14">
        <v>5.35</v>
      </c>
    </row>
    <row r="71" spans="1:6" x14ac:dyDescent="0.15">
      <c r="A71" s="5" t="s">
        <v>43</v>
      </c>
      <c r="B71" s="8">
        <v>216.8</v>
      </c>
      <c r="C71" s="8">
        <v>217.6</v>
      </c>
      <c r="D71" s="8">
        <v>216.9</v>
      </c>
      <c r="E71" s="8">
        <v>217.3</v>
      </c>
      <c r="F71" s="8">
        <v>209.9</v>
      </c>
    </row>
    <row r="72" spans="1:6" x14ac:dyDescent="0.15">
      <c r="A72" s="5"/>
      <c r="B72" s="5"/>
      <c r="C72" s="5"/>
      <c r="D72" s="5"/>
      <c r="E72" s="5"/>
      <c r="F72" s="5"/>
    </row>
    <row r="73" spans="1:6" x14ac:dyDescent="0.15">
      <c r="A73" s="5" t="s">
        <v>42</v>
      </c>
      <c r="B73" s="13">
        <v>3.23</v>
      </c>
      <c r="C73" s="13">
        <v>3.68</v>
      </c>
      <c r="D73" s="13">
        <v>2.58</v>
      </c>
      <c r="E73" s="13">
        <v>4.0599999999999996</v>
      </c>
      <c r="F73" s="13">
        <v>4.53</v>
      </c>
    </row>
    <row r="74" spans="1:6" x14ac:dyDescent="0.15">
      <c r="A74" s="5" t="s">
        <v>41</v>
      </c>
      <c r="B74" s="14">
        <v>3.231722</v>
      </c>
      <c r="C74" s="14">
        <v>3.6745169999999998</v>
      </c>
      <c r="D74" s="14">
        <v>2.5790109999999999</v>
      </c>
      <c r="E74" s="14">
        <v>4.035895</v>
      </c>
      <c r="F74" s="14">
        <v>4.5019049999999998</v>
      </c>
    </row>
    <row r="75" spans="1:6" x14ac:dyDescent="0.15">
      <c r="A75" s="5"/>
      <c r="B75" s="5"/>
      <c r="C75" s="5"/>
      <c r="D75" s="5"/>
      <c r="E75" s="5"/>
      <c r="F75" s="5"/>
    </row>
    <row r="76" spans="1:6" x14ac:dyDescent="0.15">
      <c r="A76" s="5" t="s">
        <v>40</v>
      </c>
      <c r="B76" s="13">
        <v>0.56999999999999995</v>
      </c>
      <c r="C76" s="13">
        <v>0.68</v>
      </c>
      <c r="D76" s="13">
        <v>1.52</v>
      </c>
      <c r="E76" s="13">
        <v>1.64</v>
      </c>
      <c r="F76" s="13">
        <v>1.76</v>
      </c>
    </row>
    <row r="77" spans="1:6" ht="12" x14ac:dyDescent="0.15">
      <c r="A77" s="5" t="s">
        <v>39</v>
      </c>
      <c r="B77" s="11" t="s">
        <v>30</v>
      </c>
      <c r="C77" s="11">
        <v>0.14696200000000001</v>
      </c>
      <c r="D77" s="11" t="s">
        <v>30</v>
      </c>
      <c r="E77" s="11">
        <v>0.37380099999999999</v>
      </c>
      <c r="F77" s="11">
        <v>0.32893699999999998</v>
      </c>
    </row>
    <row r="78" spans="1:6" x14ac:dyDescent="0.15">
      <c r="A78" s="5"/>
      <c r="B78" s="5"/>
      <c r="C78" s="5"/>
      <c r="D78" s="5"/>
      <c r="E78" s="5"/>
      <c r="F78" s="5"/>
    </row>
    <row r="79" spans="1:6" x14ac:dyDescent="0.15">
      <c r="A79" s="5" t="s">
        <v>38</v>
      </c>
      <c r="B79" s="12">
        <v>1</v>
      </c>
      <c r="C79" s="12">
        <v>1</v>
      </c>
      <c r="D79" s="12">
        <v>1</v>
      </c>
      <c r="E79" s="12">
        <v>1</v>
      </c>
      <c r="F79" s="12">
        <v>1</v>
      </c>
    </row>
    <row r="80" spans="1:6" x14ac:dyDescent="0.15">
      <c r="A80" s="5"/>
      <c r="B80" s="5"/>
      <c r="C80" s="5"/>
      <c r="D80" s="5"/>
      <c r="E80" s="5"/>
      <c r="F80" s="5"/>
    </row>
    <row r="81" spans="1:6" x14ac:dyDescent="0.15">
      <c r="A81" s="7" t="s">
        <v>37</v>
      </c>
      <c r="B81" s="5"/>
      <c r="C81" s="5"/>
      <c r="D81" s="5"/>
      <c r="E81" s="5"/>
      <c r="F81" s="5"/>
    </row>
    <row r="82" spans="1:6" x14ac:dyDescent="0.15">
      <c r="A82" s="5" t="s">
        <v>36</v>
      </c>
      <c r="B82" s="8">
        <v>2198.9</v>
      </c>
      <c r="C82" s="8">
        <v>2316</v>
      </c>
      <c r="D82" s="8">
        <v>1813.8</v>
      </c>
      <c r="E82" s="8">
        <v>2281.9</v>
      </c>
      <c r="F82" s="8">
        <v>2476.6999999999998</v>
      </c>
    </row>
    <row r="83" spans="1:6" x14ac:dyDescent="0.15">
      <c r="A83" s="5" t="s">
        <v>35</v>
      </c>
      <c r="B83" s="8">
        <v>1609.2</v>
      </c>
      <c r="C83" s="8">
        <v>1763.3</v>
      </c>
      <c r="D83" s="8">
        <v>1337.1</v>
      </c>
      <c r="E83" s="8">
        <v>1806.4</v>
      </c>
      <c r="F83" s="8">
        <v>2017.3</v>
      </c>
    </row>
    <row r="84" spans="1:6" x14ac:dyDescent="0.15">
      <c r="A84" s="5" t="s">
        <v>34</v>
      </c>
      <c r="B84" s="8">
        <v>1389.2</v>
      </c>
      <c r="C84" s="8">
        <v>1545.3</v>
      </c>
      <c r="D84" s="8">
        <v>1129</v>
      </c>
      <c r="E84" s="8">
        <v>1599.1</v>
      </c>
      <c r="F84" s="8">
        <v>1810.9</v>
      </c>
    </row>
    <row r="85" spans="1:6" x14ac:dyDescent="0.15">
      <c r="A85" s="5" t="s">
        <v>33</v>
      </c>
      <c r="B85" s="8">
        <v>2270.3000000000002</v>
      </c>
      <c r="C85" s="8">
        <v>2389.1999999999998</v>
      </c>
      <c r="D85" s="8">
        <v>1886.3</v>
      </c>
      <c r="E85" s="8">
        <v>2363.1999999999998</v>
      </c>
      <c r="F85" s="8">
        <v>2563.6</v>
      </c>
    </row>
    <row r="86" spans="1:6" x14ac:dyDescent="0.15">
      <c r="A86" s="5" t="s">
        <v>32</v>
      </c>
      <c r="B86" s="8">
        <v>9654</v>
      </c>
      <c r="C86" s="8">
        <v>10279.700000000001</v>
      </c>
      <c r="D86" s="8">
        <v>10701</v>
      </c>
      <c r="E86" s="8">
        <v>11702.1</v>
      </c>
      <c r="F86" s="8">
        <v>11627</v>
      </c>
    </row>
    <row r="87" spans="1:6" ht="12" x14ac:dyDescent="0.15">
      <c r="A87" s="5" t="s">
        <v>31</v>
      </c>
      <c r="B87" s="11" t="s">
        <v>30</v>
      </c>
      <c r="C87" s="11">
        <v>0.18603700000000001</v>
      </c>
      <c r="D87" s="11" t="s">
        <v>30</v>
      </c>
      <c r="E87" s="11">
        <v>0.23640700000000001</v>
      </c>
      <c r="F87" s="11">
        <v>0.22974</v>
      </c>
    </row>
    <row r="88" spans="1:6" x14ac:dyDescent="0.15">
      <c r="A88" s="5" t="s">
        <v>29</v>
      </c>
      <c r="B88" s="8">
        <v>84.2</v>
      </c>
      <c r="C88" s="8">
        <v>50.6</v>
      </c>
      <c r="D88" s="8">
        <v>168.4</v>
      </c>
      <c r="E88" s="8">
        <v>222.8</v>
      </c>
      <c r="F88" s="8">
        <v>173.3</v>
      </c>
    </row>
    <row r="89" spans="1:6" x14ac:dyDescent="0.15">
      <c r="A89" s="5" t="s">
        <v>28</v>
      </c>
      <c r="B89" s="8">
        <v>111.4</v>
      </c>
      <c r="C89" s="8">
        <v>-1</v>
      </c>
      <c r="D89" s="8">
        <v>-17.2</v>
      </c>
      <c r="E89" s="8">
        <v>37.299999999999997</v>
      </c>
      <c r="F89" s="8">
        <v>54.5</v>
      </c>
    </row>
    <row r="90" spans="1:6" x14ac:dyDescent="0.15">
      <c r="A90" s="5" t="s">
        <v>27</v>
      </c>
      <c r="B90" s="8">
        <v>195.6</v>
      </c>
      <c r="C90" s="8">
        <v>49.6</v>
      </c>
      <c r="D90" s="8">
        <v>151.19999999999999</v>
      </c>
      <c r="E90" s="8">
        <v>260.10000000000002</v>
      </c>
      <c r="F90" s="8">
        <v>227.8</v>
      </c>
    </row>
    <row r="91" spans="1:6" x14ac:dyDescent="0.15">
      <c r="A91" s="5" t="s">
        <v>26</v>
      </c>
      <c r="B91" s="8">
        <v>121.4</v>
      </c>
      <c r="C91" s="8">
        <v>233.9</v>
      </c>
      <c r="D91" s="8">
        <v>30.2</v>
      </c>
      <c r="E91" s="8">
        <v>102.8</v>
      </c>
      <c r="F91" s="8">
        <v>123</v>
      </c>
    </row>
    <row r="92" spans="1:6" x14ac:dyDescent="0.15">
      <c r="A92" s="5" t="s">
        <v>25</v>
      </c>
      <c r="B92" s="8">
        <v>-15.2</v>
      </c>
      <c r="C92" s="8">
        <v>-53</v>
      </c>
      <c r="D92" s="8">
        <v>-57.4</v>
      </c>
      <c r="E92" s="8">
        <v>-66.8</v>
      </c>
      <c r="F92" s="8">
        <v>-5.5</v>
      </c>
    </row>
    <row r="93" spans="1:6" x14ac:dyDescent="0.15">
      <c r="A93" s="5" t="s">
        <v>24</v>
      </c>
      <c r="B93" s="8">
        <v>106.2</v>
      </c>
      <c r="C93" s="8">
        <v>180.9</v>
      </c>
      <c r="D93" s="8">
        <v>-27.2</v>
      </c>
      <c r="E93" s="8">
        <v>36</v>
      </c>
      <c r="F93" s="8">
        <v>117.5</v>
      </c>
    </row>
    <row r="94" spans="1:6" x14ac:dyDescent="0.15">
      <c r="A94" s="5"/>
      <c r="B94" s="5"/>
      <c r="C94" s="5"/>
      <c r="D94" s="5"/>
      <c r="E94" s="5"/>
      <c r="F94" s="5"/>
    </row>
    <row r="95" spans="1:6" x14ac:dyDescent="0.15">
      <c r="A95" s="5" t="s">
        <v>23</v>
      </c>
      <c r="B95" s="8">
        <v>700.63750000000005</v>
      </c>
      <c r="C95" s="8">
        <v>799.57500000000005</v>
      </c>
      <c r="D95" s="8">
        <v>559.38750000000005</v>
      </c>
      <c r="E95" s="8">
        <v>877</v>
      </c>
      <c r="F95" s="8">
        <v>944.95</v>
      </c>
    </row>
    <row r="96" spans="1:6" x14ac:dyDescent="0.15">
      <c r="A96" s="5" t="s">
        <v>22</v>
      </c>
      <c r="B96" s="8">
        <v>7.7</v>
      </c>
      <c r="C96" s="8">
        <v>8.8000000000000007</v>
      </c>
      <c r="D96" s="8">
        <v>6.8</v>
      </c>
      <c r="E96" s="8">
        <v>9.4</v>
      </c>
      <c r="F96" s="8">
        <v>12.4</v>
      </c>
    </row>
    <row r="97" spans="1:6" x14ac:dyDescent="0.15">
      <c r="A97" s="5" t="s">
        <v>21</v>
      </c>
      <c r="B97" s="8">
        <v>-34.1</v>
      </c>
      <c r="C97" s="8">
        <v>-53.6</v>
      </c>
      <c r="D97" s="8">
        <v>-41.8</v>
      </c>
      <c r="E97" s="8">
        <v>-0.3</v>
      </c>
      <c r="F97" s="8">
        <v>12.3</v>
      </c>
    </row>
    <row r="98" spans="1:6" x14ac:dyDescent="0.15">
      <c r="A98" s="5" t="s">
        <v>20</v>
      </c>
      <c r="B98" s="10">
        <v>44978</v>
      </c>
      <c r="C98" s="10">
        <v>45342</v>
      </c>
      <c r="D98" s="10">
        <v>45706</v>
      </c>
      <c r="E98" s="10">
        <v>45706</v>
      </c>
      <c r="F98" s="10">
        <v>45706</v>
      </c>
    </row>
    <row r="99" spans="1:6" ht="12" x14ac:dyDescent="0.15">
      <c r="A99" s="5" t="s">
        <v>19</v>
      </c>
      <c r="B99" s="9" t="s">
        <v>18</v>
      </c>
      <c r="C99" s="9" t="s">
        <v>17</v>
      </c>
      <c r="D99" s="9" t="s">
        <v>18</v>
      </c>
      <c r="E99" s="9" t="s">
        <v>17</v>
      </c>
      <c r="F99" s="9" t="s">
        <v>16</v>
      </c>
    </row>
    <row r="100" spans="1:6" ht="12" x14ac:dyDescent="0.15">
      <c r="A100" s="5" t="s">
        <v>15</v>
      </c>
      <c r="B100" s="9" t="s">
        <v>14</v>
      </c>
      <c r="C100" s="9" t="s">
        <v>14</v>
      </c>
      <c r="D100" s="9" t="s">
        <v>14</v>
      </c>
      <c r="E100" s="9" t="s">
        <v>14</v>
      </c>
      <c r="F100" s="9" t="s">
        <v>14</v>
      </c>
    </row>
    <row r="101" spans="1:6" x14ac:dyDescent="0.15">
      <c r="A101" s="5"/>
      <c r="B101" s="5"/>
      <c r="C101" s="5"/>
      <c r="D101" s="5"/>
      <c r="E101" s="5"/>
      <c r="F101" s="5"/>
    </row>
    <row r="102" spans="1:6" x14ac:dyDescent="0.15">
      <c r="A102" s="7" t="s">
        <v>13</v>
      </c>
      <c r="B102" s="5"/>
      <c r="C102" s="5"/>
      <c r="D102" s="5"/>
      <c r="E102" s="5"/>
      <c r="F102" s="5"/>
    </row>
    <row r="103" spans="1:6" x14ac:dyDescent="0.15">
      <c r="A103" s="5" t="s">
        <v>12</v>
      </c>
      <c r="B103" s="8">
        <v>900</v>
      </c>
      <c r="C103" s="8">
        <v>1100</v>
      </c>
      <c r="D103" s="8">
        <v>1000</v>
      </c>
      <c r="E103" s="8">
        <v>1100</v>
      </c>
      <c r="F103" s="8">
        <v>1100</v>
      </c>
    </row>
    <row r="104" spans="1:6" x14ac:dyDescent="0.15">
      <c r="A104" s="5" t="s">
        <v>11</v>
      </c>
      <c r="B104" s="8">
        <v>900</v>
      </c>
      <c r="C104" s="8">
        <v>1100</v>
      </c>
      <c r="D104" s="8">
        <v>1000</v>
      </c>
      <c r="E104" s="8">
        <v>1100</v>
      </c>
      <c r="F104" s="8">
        <v>1100</v>
      </c>
    </row>
    <row r="105" spans="1:6" x14ac:dyDescent="0.15">
      <c r="A105" s="5" t="s">
        <v>10</v>
      </c>
      <c r="B105" s="8">
        <v>71.400000000000006</v>
      </c>
      <c r="C105" s="8">
        <v>73.2</v>
      </c>
      <c r="D105" s="8">
        <v>72.5</v>
      </c>
      <c r="E105" s="8">
        <v>81.3</v>
      </c>
      <c r="F105" s="8">
        <v>86.9</v>
      </c>
    </row>
    <row r="106" spans="1:6" x14ac:dyDescent="0.15">
      <c r="A106" s="5" t="s">
        <v>8</v>
      </c>
      <c r="B106" s="8">
        <v>17.997941000000001</v>
      </c>
      <c r="C106" s="8">
        <v>19.612915000000001</v>
      </c>
      <c r="D106" s="8">
        <v>21.067920000000001</v>
      </c>
      <c r="E106" s="8">
        <v>24.093418</v>
      </c>
      <c r="F106" s="8">
        <v>32.082785000000001</v>
      </c>
    </row>
    <row r="107" spans="1:6" x14ac:dyDescent="0.15">
      <c r="A107" s="5" t="s">
        <v>7</v>
      </c>
      <c r="B107" s="8">
        <v>53.402059000000001</v>
      </c>
      <c r="C107" s="8">
        <v>53.587085000000002</v>
      </c>
      <c r="D107" s="8">
        <v>51.432079999999999</v>
      </c>
      <c r="E107" s="8">
        <v>57.206581999999997</v>
      </c>
      <c r="F107" s="8">
        <v>54.817214999999997</v>
      </c>
    </row>
    <row r="108" spans="1:6" x14ac:dyDescent="0.15">
      <c r="A108" s="5"/>
      <c r="B108" s="5"/>
      <c r="C108" s="5"/>
      <c r="D108" s="5"/>
      <c r="E108" s="5"/>
      <c r="F108" s="5"/>
    </row>
    <row r="109" spans="1:6" x14ac:dyDescent="0.15">
      <c r="A109" s="5" t="s">
        <v>6</v>
      </c>
      <c r="B109" s="8">
        <v>24.2</v>
      </c>
      <c r="C109" s="8">
        <v>32.1</v>
      </c>
      <c r="D109" s="8">
        <v>33.6</v>
      </c>
      <c r="E109" s="8">
        <v>44.9</v>
      </c>
      <c r="F109" s="8">
        <v>43.1</v>
      </c>
    </row>
    <row r="110" spans="1:6" ht="12" x14ac:dyDescent="0.15">
      <c r="A110" s="5" t="s">
        <v>5</v>
      </c>
      <c r="B110" s="8" t="s">
        <v>4</v>
      </c>
      <c r="C110" s="8" t="s">
        <v>4</v>
      </c>
      <c r="D110" s="8" t="s">
        <v>4</v>
      </c>
      <c r="E110" s="8" t="s">
        <v>4</v>
      </c>
      <c r="F110" s="8" t="s">
        <v>4</v>
      </c>
    </row>
    <row r="111" spans="1:6" x14ac:dyDescent="0.15">
      <c r="A111" s="7" t="s">
        <v>3</v>
      </c>
      <c r="B111" s="6">
        <v>24.2</v>
      </c>
      <c r="C111" s="6">
        <v>32.1</v>
      </c>
      <c r="D111" s="6">
        <v>33.6</v>
      </c>
      <c r="E111" s="6">
        <v>44.9</v>
      </c>
      <c r="F111" s="6">
        <v>43.1</v>
      </c>
    </row>
    <row r="112" spans="1:6" x14ac:dyDescent="0.15">
      <c r="A112" s="7" t="s">
        <v>401</v>
      </c>
      <c r="B112" s="16">
        <v>809.7</v>
      </c>
      <c r="C112" s="16">
        <v>770.7</v>
      </c>
      <c r="D112" s="16">
        <v>684.8</v>
      </c>
      <c r="E112" s="16">
        <v>682.8</v>
      </c>
      <c r="F112" s="16">
        <v>665.8</v>
      </c>
    </row>
    <row r="113" spans="1:6" x14ac:dyDescent="0.15">
      <c r="A113" s="5" t="s">
        <v>390</v>
      </c>
      <c r="B113" s="8">
        <v>-574.79999999999995</v>
      </c>
      <c r="C113" s="8">
        <v>-522.6</v>
      </c>
      <c r="D113" s="8">
        <v>-661.4</v>
      </c>
      <c r="E113" s="8">
        <v>-671.5</v>
      </c>
      <c r="F113" s="8">
        <v>-674.1</v>
      </c>
    </row>
    <row r="114" spans="1:6" x14ac:dyDescent="0.15">
      <c r="A114" s="4" t="s">
        <v>2</v>
      </c>
      <c r="B114" s="3"/>
      <c r="C114" s="3"/>
      <c r="D114" s="3"/>
      <c r="E114" s="3"/>
      <c r="F114" s="3"/>
    </row>
    <row r="115" spans="1:6" x14ac:dyDescent="0.15">
      <c r="A115" s="1" t="s">
        <v>1</v>
      </c>
    </row>
    <row r="116" spans="1:6" x14ac:dyDescent="0.15">
      <c r="A116" s="2" t="s">
        <v>0</v>
      </c>
    </row>
  </sheetData>
  <pageMargins left="0.2" right="0.2" top="0.5" bottom="0.5" header="0.5" footer="0.5"/>
  <pageSetup fitToWidth="0" fitToHeight="0" orientation="landscape" horizontalDpi="0" verticalDpi="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6077-C9DF-7041-A64C-B98B410D1D83}">
  <sheetPr codeName="Sheet3">
    <outlinePr summaryBelow="0" summaryRight="0"/>
    <pageSetUpPr autoPageBreaks="0"/>
  </sheetPr>
  <dimension ref="A1:IT95"/>
  <sheetViews>
    <sheetView zoomScale="186" workbookViewId="0">
      <selection sqref="A1:XFD1048576"/>
    </sheetView>
  </sheetViews>
  <sheetFormatPr baseColWidth="10" defaultColWidth="10.83203125" defaultRowHeight="11" x14ac:dyDescent="0.15"/>
  <cols>
    <col min="1" max="1" width="45.83203125" style="1" customWidth="1"/>
    <col min="2" max="6" width="14.83203125" style="1" customWidth="1"/>
    <col min="7" max="255" width="8.83203125" style="1" customWidth="1"/>
    <col min="256" max="16384" width="10.83203125" style="1"/>
  </cols>
  <sheetData>
    <row r="1" spans="1:254" ht="17" x14ac:dyDescent="0.2">
      <c r="A1" s="23" t="s">
        <v>188</v>
      </c>
    </row>
    <row r="3" spans="1:254" ht="12" x14ac:dyDescent="0.15">
      <c r="A3" s="22" t="s">
        <v>117</v>
      </c>
      <c r="B3" s="20" t="s">
        <v>116</v>
      </c>
      <c r="C3" s="1" t="s">
        <v>115</v>
      </c>
      <c r="D3" s="5" t="s">
        <v>98</v>
      </c>
      <c r="E3" s="20" t="s">
        <v>114</v>
      </c>
      <c r="F3" s="1" t="s">
        <v>113</v>
      </c>
    </row>
    <row r="4" spans="1:254" x14ac:dyDescent="0.15">
      <c r="A4" s="5"/>
      <c r="B4" s="20" t="s">
        <v>112</v>
      </c>
      <c r="C4" s="1" t="s">
        <v>111</v>
      </c>
      <c r="D4" s="5" t="s">
        <v>98</v>
      </c>
      <c r="E4" s="20" t="s">
        <v>110</v>
      </c>
      <c r="F4" s="1" t="s">
        <v>109</v>
      </c>
    </row>
    <row r="5" spans="1:254" x14ac:dyDescent="0.15">
      <c r="A5" s="5"/>
      <c r="B5" s="20" t="s">
        <v>108</v>
      </c>
      <c r="C5" s="1" t="s">
        <v>107</v>
      </c>
      <c r="D5" s="5" t="s">
        <v>98</v>
      </c>
      <c r="E5" s="20" t="s">
        <v>106</v>
      </c>
      <c r="F5" s="1" t="s">
        <v>105</v>
      </c>
    </row>
    <row r="6" spans="1:254" x14ac:dyDescent="0.15">
      <c r="A6" s="5"/>
      <c r="B6" s="20" t="s">
        <v>104</v>
      </c>
      <c r="C6" s="1" t="s">
        <v>103</v>
      </c>
      <c r="D6" s="5" t="s">
        <v>98</v>
      </c>
      <c r="E6" s="20" t="s">
        <v>102</v>
      </c>
      <c r="F6" s="21" t="s">
        <v>101</v>
      </c>
    </row>
    <row r="7" spans="1:254" x14ac:dyDescent="0.15">
      <c r="A7" s="5"/>
      <c r="B7" s="20" t="s">
        <v>100</v>
      </c>
      <c r="C7" s="1" t="s">
        <v>99</v>
      </c>
      <c r="D7" s="5" t="s">
        <v>98</v>
      </c>
      <c r="E7" s="19"/>
      <c r="F7" s="19"/>
    </row>
    <row r="10" spans="1:254" x14ac:dyDescent="0.15">
      <c r="A10" s="18" t="s">
        <v>187</v>
      </c>
      <c r="B10" s="18"/>
      <c r="C10" s="18"/>
      <c r="D10" s="18"/>
      <c r="E10" s="18"/>
      <c r="F10" s="18"/>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row>
    <row r="11" spans="1:254" ht="24" x14ac:dyDescent="0.15">
      <c r="A11" s="27" t="s">
        <v>96</v>
      </c>
      <c r="B11" s="28">
        <v>2020</v>
      </c>
      <c r="C11" s="28">
        <f>B11+1</f>
        <v>2021</v>
      </c>
      <c r="D11" s="28">
        <f t="shared" ref="D11:F11" si="0">C11+1</f>
        <v>2022</v>
      </c>
      <c r="E11" s="28">
        <f t="shared" si="0"/>
        <v>2023</v>
      </c>
      <c r="F11" s="28">
        <f t="shared" si="0"/>
        <v>2024</v>
      </c>
    </row>
    <row r="12" spans="1:254" ht="12" x14ac:dyDescent="0.15">
      <c r="A12" s="29" t="s">
        <v>89</v>
      </c>
      <c r="B12" s="30" t="s">
        <v>88</v>
      </c>
      <c r="C12" s="30" t="s">
        <v>88</v>
      </c>
      <c r="D12" s="30" t="s">
        <v>88</v>
      </c>
      <c r="E12" s="30" t="s">
        <v>88</v>
      </c>
      <c r="F12" s="30" t="s">
        <v>88</v>
      </c>
    </row>
    <row r="13" spans="1:254" x14ac:dyDescent="0.15">
      <c r="A13" s="7" t="s">
        <v>185</v>
      </c>
      <c r="B13" s="5"/>
      <c r="C13" s="5"/>
      <c r="D13" s="5"/>
      <c r="E13" s="5"/>
      <c r="F13" s="5"/>
    </row>
    <row r="14" spans="1:254" x14ac:dyDescent="0.15">
      <c r="A14" s="5" t="s">
        <v>184</v>
      </c>
      <c r="B14" s="8">
        <v>770.1</v>
      </c>
      <c r="C14" s="8">
        <v>637.4</v>
      </c>
      <c r="D14" s="8">
        <v>600</v>
      </c>
      <c r="E14" s="8">
        <v>868.9</v>
      </c>
      <c r="F14" s="8">
        <v>969.3</v>
      </c>
    </row>
    <row r="15" spans="1:254" x14ac:dyDescent="0.15">
      <c r="A15" s="7" t="s">
        <v>183</v>
      </c>
      <c r="B15" s="16">
        <v>770.1</v>
      </c>
      <c r="C15" s="16">
        <v>637.4</v>
      </c>
      <c r="D15" s="16">
        <v>600</v>
      </c>
      <c r="E15" s="16">
        <v>868.9</v>
      </c>
      <c r="F15" s="16">
        <v>969.3</v>
      </c>
    </row>
    <row r="16" spans="1:254" x14ac:dyDescent="0.15">
      <c r="A16" s="5"/>
      <c r="B16" s="5"/>
      <c r="C16" s="5"/>
      <c r="D16" s="5"/>
      <c r="E16" s="5"/>
      <c r="F16" s="5"/>
    </row>
    <row r="17" spans="1:6" x14ac:dyDescent="0.15">
      <c r="A17" s="5" t="s">
        <v>182</v>
      </c>
      <c r="B17" s="8">
        <v>549.6</v>
      </c>
      <c r="C17" s="8">
        <v>678.9</v>
      </c>
      <c r="D17" s="8">
        <v>739.8</v>
      </c>
      <c r="E17" s="8">
        <v>757.8</v>
      </c>
      <c r="F17" s="8">
        <v>693.1</v>
      </c>
    </row>
    <row r="18" spans="1:6" x14ac:dyDescent="0.15">
      <c r="A18" s="5" t="s">
        <v>181</v>
      </c>
      <c r="B18" s="8">
        <v>137.5</v>
      </c>
      <c r="C18" s="8">
        <v>200.5</v>
      </c>
      <c r="D18" s="8">
        <v>126.4</v>
      </c>
      <c r="E18" s="8">
        <v>121.6</v>
      </c>
      <c r="F18" s="8">
        <v>149.80000000000001</v>
      </c>
    </row>
    <row r="19" spans="1:6" x14ac:dyDescent="0.15">
      <c r="A19" s="7" t="s">
        <v>180</v>
      </c>
      <c r="B19" s="16">
        <v>687.1</v>
      </c>
      <c r="C19" s="16">
        <v>879.4</v>
      </c>
      <c r="D19" s="16">
        <v>866.2</v>
      </c>
      <c r="E19" s="16">
        <v>879.4</v>
      </c>
      <c r="F19" s="16">
        <v>842.9</v>
      </c>
    </row>
    <row r="20" spans="1:6" x14ac:dyDescent="0.15">
      <c r="A20" s="5"/>
      <c r="B20" s="5"/>
      <c r="C20" s="5"/>
      <c r="D20" s="5"/>
      <c r="E20" s="5"/>
      <c r="F20" s="5"/>
    </row>
    <row r="21" spans="1:6" x14ac:dyDescent="0.15">
      <c r="A21" s="5" t="s">
        <v>179</v>
      </c>
      <c r="B21" s="8">
        <v>664.3</v>
      </c>
      <c r="C21" s="8">
        <v>804.7</v>
      </c>
      <c r="D21" s="8">
        <v>792.9</v>
      </c>
      <c r="E21" s="8">
        <v>802.3</v>
      </c>
      <c r="F21" s="8">
        <v>727.8</v>
      </c>
    </row>
    <row r="22" spans="1:6" x14ac:dyDescent="0.15">
      <c r="A22" s="5" t="s">
        <v>178</v>
      </c>
      <c r="B22" s="8">
        <v>297.3</v>
      </c>
      <c r="C22" s="8">
        <v>457.2</v>
      </c>
      <c r="D22" s="8">
        <v>378.9</v>
      </c>
      <c r="E22" s="8">
        <v>297.89999999999998</v>
      </c>
      <c r="F22" s="8">
        <v>308.39999999999998</v>
      </c>
    </row>
    <row r="23" spans="1:6" x14ac:dyDescent="0.15">
      <c r="A23" s="7" t="s">
        <v>491</v>
      </c>
      <c r="B23" s="16">
        <v>2418.8000000000002</v>
      </c>
      <c r="C23" s="16">
        <v>2778.7</v>
      </c>
      <c r="D23" s="16">
        <v>2638</v>
      </c>
      <c r="E23" s="16">
        <v>2848.5</v>
      </c>
      <c r="F23" s="16">
        <v>2848.4</v>
      </c>
    </row>
    <row r="24" spans="1:6" x14ac:dyDescent="0.15">
      <c r="A24" s="5"/>
      <c r="B24" s="5"/>
      <c r="C24" s="5"/>
      <c r="D24" s="5"/>
      <c r="E24" s="5"/>
      <c r="F24" s="5"/>
    </row>
    <row r="25" spans="1:6" x14ac:dyDescent="0.15">
      <c r="A25" s="5" t="s">
        <v>176</v>
      </c>
      <c r="B25" s="8">
        <v>7802.9</v>
      </c>
      <c r="C25" s="8">
        <v>7818.7</v>
      </c>
      <c r="D25" s="8">
        <v>8017.4</v>
      </c>
      <c r="E25" s="8">
        <v>8746.7999999999993</v>
      </c>
      <c r="F25" s="8">
        <v>9041.4</v>
      </c>
    </row>
    <row r="26" spans="1:6" x14ac:dyDescent="0.15">
      <c r="A26" s="5" t="s">
        <v>175</v>
      </c>
      <c r="B26" s="8">
        <v>-3416.4</v>
      </c>
      <c r="C26" s="8">
        <v>-3507.2</v>
      </c>
      <c r="D26" s="8">
        <v>-3661.9</v>
      </c>
      <c r="E26" s="8">
        <v>-4101.6000000000004</v>
      </c>
      <c r="F26" s="8">
        <v>-4392</v>
      </c>
    </row>
    <row r="27" spans="1:6" x14ac:dyDescent="0.15">
      <c r="A27" s="7" t="s">
        <v>174</v>
      </c>
      <c r="B27" s="16">
        <v>4386.5</v>
      </c>
      <c r="C27" s="16">
        <v>4311.5</v>
      </c>
      <c r="D27" s="16">
        <v>4355.5</v>
      </c>
      <c r="E27" s="16">
        <v>4645.2</v>
      </c>
      <c r="F27" s="16">
        <v>4649.3999999999996</v>
      </c>
    </row>
    <row r="28" spans="1:6" x14ac:dyDescent="0.15">
      <c r="A28" s="5"/>
      <c r="B28" s="5"/>
      <c r="C28" s="5"/>
      <c r="D28" s="5"/>
      <c r="E28" s="5"/>
      <c r="F28" s="5"/>
    </row>
    <row r="29" spans="1:6" ht="12" x14ac:dyDescent="0.15">
      <c r="A29" s="5" t="s">
        <v>173</v>
      </c>
      <c r="B29" s="8" t="s">
        <v>4</v>
      </c>
      <c r="C29" s="8" t="s">
        <v>4</v>
      </c>
      <c r="D29" s="8">
        <v>40</v>
      </c>
      <c r="E29" s="8">
        <v>264.3</v>
      </c>
      <c r="F29" s="8">
        <v>205.2</v>
      </c>
    </row>
    <row r="30" spans="1:6" x14ac:dyDescent="0.15">
      <c r="A30" s="5" t="s">
        <v>172</v>
      </c>
      <c r="B30" s="8">
        <v>6151</v>
      </c>
      <c r="C30" s="8">
        <v>6152.6</v>
      </c>
      <c r="D30" s="8">
        <v>5291.9</v>
      </c>
      <c r="E30" s="8">
        <v>5325.3</v>
      </c>
      <c r="F30" s="8">
        <v>5582.3</v>
      </c>
    </row>
    <row r="31" spans="1:6" x14ac:dyDescent="0.15">
      <c r="A31" s="5" t="s">
        <v>171</v>
      </c>
      <c r="B31" s="8">
        <v>13556.1</v>
      </c>
      <c r="C31" s="8">
        <v>13286.8</v>
      </c>
      <c r="D31" s="8">
        <v>12800.1</v>
      </c>
      <c r="E31" s="8">
        <v>12614.6</v>
      </c>
      <c r="F31" s="8">
        <v>12195.2</v>
      </c>
    </row>
    <row r="32" spans="1:6" x14ac:dyDescent="0.15">
      <c r="A32" s="5" t="s">
        <v>170</v>
      </c>
      <c r="B32" s="8">
        <v>105.7</v>
      </c>
      <c r="C32" s="8">
        <v>180.2</v>
      </c>
      <c r="D32" s="8">
        <v>125.8</v>
      </c>
      <c r="E32" s="8">
        <v>123.7</v>
      </c>
      <c r="F32" s="8">
        <v>38.6</v>
      </c>
    </row>
    <row r="33" spans="1:6" ht="12" x14ac:dyDescent="0.15">
      <c r="A33" s="5" t="s">
        <v>169</v>
      </c>
      <c r="B33" s="8" t="s">
        <v>4</v>
      </c>
      <c r="C33" s="8" t="s">
        <v>4</v>
      </c>
      <c r="D33" s="8" t="s">
        <v>4</v>
      </c>
      <c r="E33" s="8">
        <v>35.700000000000003</v>
      </c>
      <c r="F33" s="8">
        <v>39.9</v>
      </c>
    </row>
    <row r="34" spans="1:6" x14ac:dyDescent="0.15">
      <c r="A34" s="5" t="s">
        <v>168</v>
      </c>
      <c r="B34" s="8">
        <v>713</v>
      </c>
      <c r="C34" s="8">
        <v>909.2</v>
      </c>
      <c r="D34" s="8">
        <v>617</v>
      </c>
      <c r="E34" s="8">
        <v>517.79999999999995</v>
      </c>
      <c r="F34" s="8">
        <v>505.3</v>
      </c>
    </row>
    <row r="35" spans="1:6" x14ac:dyDescent="0.15">
      <c r="A35" s="7" t="s">
        <v>167</v>
      </c>
      <c r="B35" s="15">
        <v>27331.1</v>
      </c>
      <c r="C35" s="15">
        <v>27619</v>
      </c>
      <c r="D35" s="15">
        <v>25868.3</v>
      </c>
      <c r="E35" s="15">
        <v>26375.1</v>
      </c>
      <c r="F35" s="15">
        <v>26064.3</v>
      </c>
    </row>
    <row r="36" spans="1:6" x14ac:dyDescent="0.15">
      <c r="A36" s="5"/>
      <c r="B36" s="5"/>
      <c r="C36" s="5"/>
      <c r="D36" s="5"/>
      <c r="E36" s="5"/>
      <c r="F36" s="5"/>
    </row>
    <row r="37" spans="1:6" x14ac:dyDescent="0.15">
      <c r="A37" s="7" t="s">
        <v>166</v>
      </c>
      <c r="B37" s="5"/>
      <c r="C37" s="5"/>
      <c r="D37" s="5"/>
      <c r="E37" s="5"/>
      <c r="F37" s="5"/>
    </row>
    <row r="38" spans="1:6" x14ac:dyDescent="0.15">
      <c r="A38" s="5" t="s">
        <v>165</v>
      </c>
      <c r="B38" s="8">
        <v>1732.7</v>
      </c>
      <c r="C38" s="8">
        <v>2098.1</v>
      </c>
      <c r="D38" s="8">
        <v>2225.1</v>
      </c>
      <c r="E38" s="8">
        <v>2128.3000000000002</v>
      </c>
      <c r="F38" s="8">
        <v>2020.1</v>
      </c>
    </row>
    <row r="39" spans="1:6" x14ac:dyDescent="0.15">
      <c r="A39" s="5" t="s">
        <v>164</v>
      </c>
      <c r="B39" s="8">
        <v>637.5</v>
      </c>
      <c r="C39" s="8">
        <v>577.70000000000005</v>
      </c>
      <c r="D39" s="8">
        <v>576.70000000000005</v>
      </c>
      <c r="E39" s="8">
        <v>823.7</v>
      </c>
      <c r="F39" s="8">
        <v>735.7</v>
      </c>
    </row>
    <row r="40" spans="1:6" x14ac:dyDescent="0.15">
      <c r="A40" s="5" t="s">
        <v>163</v>
      </c>
      <c r="B40" s="8">
        <v>14</v>
      </c>
      <c r="C40" s="8">
        <v>6.9</v>
      </c>
      <c r="D40" s="8">
        <v>20.9</v>
      </c>
      <c r="E40" s="8">
        <v>21.5</v>
      </c>
      <c r="F40" s="8">
        <v>19.899999999999999</v>
      </c>
    </row>
    <row r="41" spans="1:6" x14ac:dyDescent="0.15">
      <c r="A41" s="5" t="s">
        <v>162</v>
      </c>
      <c r="B41" s="8">
        <v>1049.7</v>
      </c>
      <c r="C41" s="8">
        <v>571.1</v>
      </c>
      <c r="D41" s="8">
        <v>370.9</v>
      </c>
      <c r="E41" s="8">
        <v>885.1</v>
      </c>
      <c r="F41" s="8">
        <v>2.4</v>
      </c>
    </row>
    <row r="42" spans="1:6" x14ac:dyDescent="0.15">
      <c r="A42" s="5" t="s">
        <v>161</v>
      </c>
      <c r="B42" s="8">
        <v>51.2</v>
      </c>
      <c r="C42" s="8">
        <v>50</v>
      </c>
      <c r="D42" s="8">
        <v>50</v>
      </c>
      <c r="E42" s="8">
        <v>52.1</v>
      </c>
      <c r="F42" s="8">
        <v>56.6</v>
      </c>
    </row>
    <row r="43" spans="1:6" x14ac:dyDescent="0.15">
      <c r="A43" s="5" t="s">
        <v>160</v>
      </c>
      <c r="B43" s="8">
        <v>424.5</v>
      </c>
      <c r="C43" s="8">
        <v>318.39999999999998</v>
      </c>
      <c r="D43" s="8">
        <v>131.80000000000001</v>
      </c>
      <c r="E43" s="8">
        <v>181.9</v>
      </c>
      <c r="F43" s="8">
        <v>210.5</v>
      </c>
    </row>
    <row r="44" spans="1:6" x14ac:dyDescent="0.15">
      <c r="A44" s="7" t="s">
        <v>159</v>
      </c>
      <c r="B44" s="16">
        <v>3909.6</v>
      </c>
      <c r="C44" s="16">
        <v>3622.2</v>
      </c>
      <c r="D44" s="16">
        <v>3375.4</v>
      </c>
      <c r="E44" s="16">
        <v>4092.6</v>
      </c>
      <c r="F44" s="16">
        <v>3045.2</v>
      </c>
    </row>
    <row r="45" spans="1:6" x14ac:dyDescent="0.15">
      <c r="A45" s="5"/>
      <c r="B45" s="5"/>
      <c r="C45" s="5"/>
      <c r="D45" s="5"/>
      <c r="E45" s="5"/>
      <c r="F45" s="5"/>
    </row>
    <row r="46" spans="1:6" x14ac:dyDescent="0.15">
      <c r="A46" s="5" t="s">
        <v>158</v>
      </c>
      <c r="B46" s="8">
        <v>7322.1</v>
      </c>
      <c r="C46" s="8">
        <v>6687.7</v>
      </c>
      <c r="D46" s="8">
        <v>6109</v>
      </c>
      <c r="E46" s="8">
        <v>5263.6</v>
      </c>
      <c r="F46" s="8">
        <v>6057</v>
      </c>
    </row>
    <row r="47" spans="1:6" x14ac:dyDescent="0.15">
      <c r="A47" s="5" t="s">
        <v>157</v>
      </c>
      <c r="B47" s="8">
        <v>166.3</v>
      </c>
      <c r="C47" s="8">
        <v>150.4</v>
      </c>
      <c r="D47" s="8">
        <v>155.5</v>
      </c>
      <c r="E47" s="8">
        <v>212.4</v>
      </c>
      <c r="F47" s="8">
        <v>218.4</v>
      </c>
    </row>
    <row r="48" spans="1:6" x14ac:dyDescent="0.15">
      <c r="A48" s="5" t="s">
        <v>156</v>
      </c>
      <c r="B48" s="8">
        <v>763.2</v>
      </c>
      <c r="C48" s="8">
        <v>654.4</v>
      </c>
      <c r="D48" s="8">
        <v>473.3</v>
      </c>
      <c r="E48" s="8">
        <v>465.8</v>
      </c>
      <c r="F48" s="8">
        <v>416.7</v>
      </c>
    </row>
    <row r="49" spans="1:6" x14ac:dyDescent="0.15">
      <c r="A49" s="5" t="s">
        <v>155</v>
      </c>
      <c r="B49" s="8">
        <v>2381.6</v>
      </c>
      <c r="C49" s="8">
        <v>2704.6</v>
      </c>
      <c r="D49" s="8">
        <v>2646.4</v>
      </c>
      <c r="E49" s="8">
        <v>2697.2</v>
      </c>
      <c r="F49" s="8">
        <v>2733.4</v>
      </c>
    </row>
    <row r="50" spans="1:6" x14ac:dyDescent="0.15">
      <c r="A50" s="5" t="s">
        <v>154</v>
      </c>
      <c r="B50" s="8">
        <v>167</v>
      </c>
      <c r="C50" s="8">
        <v>135.6</v>
      </c>
      <c r="D50" s="8">
        <v>193.5</v>
      </c>
      <c r="E50" s="8">
        <v>208.4</v>
      </c>
      <c r="F50" s="8">
        <v>140.9</v>
      </c>
    </row>
    <row r="51" spans="1:6" x14ac:dyDescent="0.15">
      <c r="A51" s="7" t="s">
        <v>153</v>
      </c>
      <c r="B51" s="16">
        <v>14709.8</v>
      </c>
      <c r="C51" s="16">
        <v>13954.9</v>
      </c>
      <c r="D51" s="16">
        <v>12953.1</v>
      </c>
      <c r="E51" s="16">
        <v>12940</v>
      </c>
      <c r="F51" s="16">
        <v>12611.6</v>
      </c>
    </row>
    <row r="52" spans="1:6" x14ac:dyDescent="0.15">
      <c r="A52" s="5"/>
      <c r="B52" s="5"/>
      <c r="C52" s="5"/>
      <c r="D52" s="5"/>
      <c r="E52" s="5"/>
      <c r="F52" s="5"/>
    </row>
    <row r="53" spans="1:6" x14ac:dyDescent="0.15">
      <c r="A53" s="5" t="s">
        <v>152</v>
      </c>
      <c r="B53" s="8">
        <v>522.20000000000005</v>
      </c>
      <c r="C53" s="8">
        <v>522.1</v>
      </c>
      <c r="D53" s="8">
        <v>517.6</v>
      </c>
      <c r="E53" s="8">
        <v>455.2</v>
      </c>
      <c r="F53" s="8">
        <v>374</v>
      </c>
    </row>
    <row r="54" spans="1:6" x14ac:dyDescent="0.15">
      <c r="A54" s="5" t="s">
        <v>151</v>
      </c>
      <c r="B54" s="8">
        <v>6937.8</v>
      </c>
      <c r="C54" s="8">
        <v>6970.9</v>
      </c>
      <c r="D54" s="8">
        <v>7006.4</v>
      </c>
      <c r="E54" s="8">
        <v>7108.4</v>
      </c>
      <c r="F54" s="8">
        <v>7223.6</v>
      </c>
    </row>
    <row r="55" spans="1:6" x14ac:dyDescent="0.15">
      <c r="A55" s="5" t="s">
        <v>150</v>
      </c>
      <c r="B55" s="8">
        <v>6544.2</v>
      </c>
      <c r="C55" s="8">
        <v>7401.5</v>
      </c>
      <c r="D55" s="8">
        <v>6894.1</v>
      </c>
      <c r="E55" s="8">
        <v>7484.3</v>
      </c>
      <c r="F55" s="8">
        <v>8238</v>
      </c>
    </row>
    <row r="56" spans="1:6" x14ac:dyDescent="0.15">
      <c r="A56" s="5" t="s">
        <v>149</v>
      </c>
      <c r="B56" s="8">
        <v>-471.4</v>
      </c>
      <c r="C56" s="8">
        <v>-471.4</v>
      </c>
      <c r="D56" s="8">
        <v>-522.9</v>
      </c>
      <c r="E56" s="8">
        <v>-735.6</v>
      </c>
      <c r="F56" s="8">
        <v>-1380.8</v>
      </c>
    </row>
    <row r="57" spans="1:6" x14ac:dyDescent="0.15">
      <c r="A57" s="5" t="s">
        <v>148</v>
      </c>
      <c r="B57" s="8">
        <v>-1167.8</v>
      </c>
      <c r="C57" s="8">
        <v>-1006</v>
      </c>
      <c r="D57" s="8">
        <v>-1205.5</v>
      </c>
      <c r="E57" s="8">
        <v>-1116.3</v>
      </c>
      <c r="F57" s="8">
        <v>-1362.4</v>
      </c>
    </row>
    <row r="58" spans="1:6" x14ac:dyDescent="0.15">
      <c r="A58" s="7" t="s">
        <v>147</v>
      </c>
      <c r="B58" s="16">
        <v>12365</v>
      </c>
      <c r="C58" s="16">
        <v>13417.1</v>
      </c>
      <c r="D58" s="16">
        <v>12689.7</v>
      </c>
      <c r="E58" s="16">
        <v>13196</v>
      </c>
      <c r="F58" s="16">
        <v>13092.4</v>
      </c>
    </row>
    <row r="59" spans="1:6" x14ac:dyDescent="0.15">
      <c r="A59" s="5"/>
      <c r="B59" s="5"/>
      <c r="C59" s="5"/>
      <c r="D59" s="5"/>
      <c r="E59" s="5"/>
      <c r="F59" s="5"/>
    </row>
    <row r="60" spans="1:6" x14ac:dyDescent="0.15">
      <c r="A60" s="5" t="s">
        <v>146</v>
      </c>
      <c r="B60" s="8">
        <v>256.3</v>
      </c>
      <c r="C60" s="8">
        <v>247</v>
      </c>
      <c r="D60" s="8">
        <v>225.5</v>
      </c>
      <c r="E60" s="8">
        <v>239.1</v>
      </c>
      <c r="F60" s="8">
        <v>360.3</v>
      </c>
    </row>
    <row r="61" spans="1:6" x14ac:dyDescent="0.15">
      <c r="A61" s="5"/>
      <c r="B61" s="5"/>
      <c r="C61" s="5"/>
      <c r="D61" s="5"/>
      <c r="E61" s="5"/>
      <c r="F61" s="5"/>
    </row>
    <row r="62" spans="1:6" x14ac:dyDescent="0.15">
      <c r="A62" s="7" t="s">
        <v>145</v>
      </c>
      <c r="B62" s="26">
        <v>12621.3</v>
      </c>
      <c r="C62" s="26">
        <v>13664.1</v>
      </c>
      <c r="D62" s="26">
        <v>12915.2</v>
      </c>
      <c r="E62" s="26">
        <v>13435.1</v>
      </c>
      <c r="F62" s="26">
        <v>13452.7</v>
      </c>
    </row>
    <row r="63" spans="1:6" x14ac:dyDescent="0.15">
      <c r="A63" s="5"/>
      <c r="B63" s="5"/>
      <c r="C63" s="5"/>
      <c r="D63" s="5"/>
      <c r="E63" s="5"/>
      <c r="F63" s="5"/>
    </row>
    <row r="64" spans="1:6" x14ac:dyDescent="0.15">
      <c r="A64" s="7" t="s">
        <v>144</v>
      </c>
      <c r="B64" s="25">
        <v>27331.1</v>
      </c>
      <c r="C64" s="25">
        <v>27619</v>
      </c>
      <c r="D64" s="25">
        <v>25868.3</v>
      </c>
      <c r="E64" s="25">
        <v>26375.1</v>
      </c>
      <c r="F64" s="25">
        <v>26064.3</v>
      </c>
    </row>
    <row r="65" spans="1:6" x14ac:dyDescent="0.15">
      <c r="A65" s="5"/>
      <c r="B65" s="5"/>
      <c r="C65" s="5"/>
      <c r="D65" s="5"/>
      <c r="E65" s="5"/>
      <c r="F65" s="5"/>
    </row>
    <row r="66" spans="1:6" x14ac:dyDescent="0.15">
      <c r="A66" s="7" t="s">
        <v>37</v>
      </c>
      <c r="B66" s="5"/>
      <c r="C66" s="5"/>
      <c r="D66" s="5"/>
      <c r="E66" s="5"/>
      <c r="F66" s="5"/>
    </row>
    <row r="67" spans="1:6" x14ac:dyDescent="0.15">
      <c r="A67" s="5" t="s">
        <v>143</v>
      </c>
      <c r="B67" s="8">
        <v>216.78052199999999</v>
      </c>
      <c r="C67" s="8">
        <v>216.98340400000001</v>
      </c>
      <c r="D67" s="8">
        <v>216.291065</v>
      </c>
      <c r="E67" s="8">
        <v>212.60684800000001</v>
      </c>
      <c r="F67" s="8">
        <v>202.60592</v>
      </c>
    </row>
    <row r="68" spans="1:6" x14ac:dyDescent="0.15">
      <c r="A68" s="5" t="s">
        <v>142</v>
      </c>
      <c r="B68" s="8">
        <v>216.7</v>
      </c>
      <c r="C68" s="8">
        <v>217</v>
      </c>
      <c r="D68" s="8">
        <v>216.3</v>
      </c>
      <c r="E68" s="8">
        <v>213.3</v>
      </c>
      <c r="F68" s="8">
        <v>203.2</v>
      </c>
    </row>
    <row r="69" spans="1:6" x14ac:dyDescent="0.15">
      <c r="A69" s="5" t="s">
        <v>141</v>
      </c>
      <c r="B69" s="13">
        <v>57.06</v>
      </c>
      <c r="C69" s="13">
        <v>61.83</v>
      </c>
      <c r="D69" s="13">
        <v>58.67</v>
      </c>
      <c r="E69" s="13">
        <v>61.87</v>
      </c>
      <c r="F69" s="13">
        <v>64.430000000000007</v>
      </c>
    </row>
    <row r="70" spans="1:6" x14ac:dyDescent="0.15">
      <c r="A70" s="5" t="s">
        <v>140</v>
      </c>
      <c r="B70" s="8">
        <v>-7342.1</v>
      </c>
      <c r="C70" s="8">
        <v>-6022.3</v>
      </c>
      <c r="D70" s="8">
        <v>-5402.3</v>
      </c>
      <c r="E70" s="8">
        <v>-4743.8999999999996</v>
      </c>
      <c r="F70" s="8">
        <v>-4685.1000000000004</v>
      </c>
    </row>
    <row r="71" spans="1:6" x14ac:dyDescent="0.15">
      <c r="A71" s="5" t="s">
        <v>139</v>
      </c>
      <c r="B71" s="13">
        <v>-33.880000000000003</v>
      </c>
      <c r="C71" s="13">
        <v>-27.75</v>
      </c>
      <c r="D71" s="13">
        <v>-24.98</v>
      </c>
      <c r="E71" s="13">
        <v>-22.24</v>
      </c>
      <c r="F71" s="13">
        <v>-23.06</v>
      </c>
    </row>
    <row r="72" spans="1:6" x14ac:dyDescent="0.15">
      <c r="A72" s="5" t="s">
        <v>138</v>
      </c>
      <c r="B72" s="8">
        <v>8603.2999999999993</v>
      </c>
      <c r="C72" s="8">
        <v>7466.1</v>
      </c>
      <c r="D72" s="8">
        <v>6706.3</v>
      </c>
      <c r="E72" s="8">
        <v>6434.7</v>
      </c>
      <c r="F72" s="8">
        <v>6354.3</v>
      </c>
    </row>
    <row r="73" spans="1:6" x14ac:dyDescent="0.15">
      <c r="A73" s="5" t="s">
        <v>137</v>
      </c>
      <c r="B73" s="8">
        <v>7833.2</v>
      </c>
      <c r="C73" s="8">
        <v>6828.7</v>
      </c>
      <c r="D73" s="8">
        <v>6106.3</v>
      </c>
      <c r="E73" s="8">
        <v>5565.8</v>
      </c>
      <c r="F73" s="8">
        <v>5385</v>
      </c>
    </row>
    <row r="74" spans="1:6" x14ac:dyDescent="0.15">
      <c r="A74" s="5" t="s">
        <v>136</v>
      </c>
      <c r="B74" s="8">
        <v>-386.9</v>
      </c>
      <c r="C74" s="8">
        <v>-571.70000000000005</v>
      </c>
      <c r="D74" s="8">
        <v>-358.8</v>
      </c>
      <c r="E74" s="8">
        <v>-378.8</v>
      </c>
      <c r="F74" s="8">
        <v>-366.9</v>
      </c>
    </row>
    <row r="75" spans="1:6" x14ac:dyDescent="0.15">
      <c r="A75" s="5" t="s">
        <v>135</v>
      </c>
      <c r="B75" s="8">
        <v>571.20000000000005</v>
      </c>
      <c r="C75" s="8">
        <v>585.6</v>
      </c>
      <c r="D75" s="8">
        <v>580</v>
      </c>
      <c r="E75" s="8">
        <v>650.4</v>
      </c>
      <c r="F75" s="8">
        <v>695.2</v>
      </c>
    </row>
    <row r="76" spans="1:6" x14ac:dyDescent="0.15">
      <c r="A76" s="5" t="s">
        <v>134</v>
      </c>
      <c r="B76" s="8">
        <v>256.3</v>
      </c>
      <c r="C76" s="8">
        <v>247</v>
      </c>
      <c r="D76" s="8">
        <v>225.5</v>
      </c>
      <c r="E76" s="8">
        <v>239.1</v>
      </c>
      <c r="F76" s="8">
        <v>360.3</v>
      </c>
    </row>
    <row r="77" spans="1:6" ht="12" x14ac:dyDescent="0.15">
      <c r="A77" s="5" t="s">
        <v>133</v>
      </c>
      <c r="B77" s="8" t="s">
        <v>9</v>
      </c>
      <c r="C77" s="8" t="s">
        <v>9</v>
      </c>
      <c r="D77" s="8" t="s">
        <v>9</v>
      </c>
      <c r="E77" s="8">
        <v>222.7</v>
      </c>
      <c r="F77" s="8">
        <v>108.9</v>
      </c>
    </row>
    <row r="78" spans="1:6" ht="12" x14ac:dyDescent="0.15">
      <c r="A78" s="5" t="s">
        <v>132</v>
      </c>
      <c r="B78" s="9" t="s">
        <v>131</v>
      </c>
      <c r="C78" s="9" t="s">
        <v>131</v>
      </c>
      <c r="D78" s="9" t="s">
        <v>131</v>
      </c>
      <c r="E78" s="9" t="s">
        <v>131</v>
      </c>
      <c r="F78" s="9" t="s">
        <v>131</v>
      </c>
    </row>
    <row r="79" spans="1:6" x14ac:dyDescent="0.15">
      <c r="A79" s="5" t="s">
        <v>130</v>
      </c>
      <c r="B79" s="8">
        <v>324.89999999999998</v>
      </c>
      <c r="C79" s="8">
        <v>381.4</v>
      </c>
      <c r="D79" s="8">
        <v>451.9</v>
      </c>
      <c r="E79" s="8">
        <v>459.2</v>
      </c>
      <c r="F79" s="8">
        <v>398.2</v>
      </c>
    </row>
    <row r="80" spans="1:6" x14ac:dyDescent="0.15">
      <c r="A80" s="5" t="s">
        <v>129</v>
      </c>
      <c r="B80" s="8">
        <v>72.7</v>
      </c>
      <c r="C80" s="8">
        <v>71.8</v>
      </c>
      <c r="D80" s="8">
        <v>71.900000000000006</v>
      </c>
      <c r="E80" s="8">
        <v>97.4</v>
      </c>
      <c r="F80" s="8">
        <v>83.8</v>
      </c>
    </row>
    <row r="81" spans="1:6" x14ac:dyDescent="0.15">
      <c r="A81" s="5" t="s">
        <v>128</v>
      </c>
      <c r="B81" s="8">
        <v>266.7</v>
      </c>
      <c r="C81" s="8">
        <v>351.5</v>
      </c>
      <c r="D81" s="8">
        <v>269.10000000000002</v>
      </c>
      <c r="E81" s="8">
        <v>245.7</v>
      </c>
      <c r="F81" s="8">
        <v>245.8</v>
      </c>
    </row>
    <row r="82" spans="1:6" x14ac:dyDescent="0.15">
      <c r="A82" s="5" t="s">
        <v>127</v>
      </c>
      <c r="B82" s="8">
        <v>341.3</v>
      </c>
      <c r="C82" s="8">
        <v>355.9</v>
      </c>
      <c r="D82" s="8">
        <v>355.9</v>
      </c>
      <c r="E82" s="8">
        <v>365.1</v>
      </c>
      <c r="F82" s="8">
        <v>362.9</v>
      </c>
    </row>
    <row r="83" spans="1:6" x14ac:dyDescent="0.15">
      <c r="A83" s="5" t="s">
        <v>126</v>
      </c>
      <c r="B83" s="8">
        <v>1074.8</v>
      </c>
      <c r="C83" s="8">
        <v>1225.0999999999999</v>
      </c>
      <c r="D83" s="8">
        <v>1205.5</v>
      </c>
      <c r="E83" s="8">
        <v>1283.4000000000001</v>
      </c>
      <c r="F83" s="8">
        <v>1450.2</v>
      </c>
    </row>
    <row r="84" spans="1:6" x14ac:dyDescent="0.15">
      <c r="A84" s="5" t="s">
        <v>125</v>
      </c>
      <c r="B84" s="8">
        <v>4833.6000000000004</v>
      </c>
      <c r="C84" s="8">
        <v>4858.5</v>
      </c>
      <c r="D84" s="8">
        <v>4897.3</v>
      </c>
      <c r="E84" s="8">
        <v>5156</v>
      </c>
      <c r="F84" s="8">
        <v>5479.8</v>
      </c>
    </row>
    <row r="85" spans="1:6" x14ac:dyDescent="0.15">
      <c r="A85" s="5" t="s">
        <v>124</v>
      </c>
      <c r="B85" s="8">
        <v>532.1</v>
      </c>
      <c r="C85" s="8">
        <v>335.2</v>
      </c>
      <c r="D85" s="8">
        <v>497.4</v>
      </c>
      <c r="E85" s="8">
        <v>783.7</v>
      </c>
      <c r="F85" s="8">
        <v>612.1</v>
      </c>
    </row>
    <row r="86" spans="1:6" ht="12" x14ac:dyDescent="0.15">
      <c r="A86" s="5" t="s">
        <v>123</v>
      </c>
      <c r="B86" s="8">
        <v>3.8</v>
      </c>
      <c r="C86" s="8" t="s">
        <v>4</v>
      </c>
      <c r="D86" s="8" t="s">
        <v>4</v>
      </c>
      <c r="E86" s="8" t="s">
        <v>4</v>
      </c>
      <c r="F86" s="8" t="s">
        <v>4</v>
      </c>
    </row>
    <row r="87" spans="1:6" x14ac:dyDescent="0.15">
      <c r="A87" s="5" t="s">
        <v>122</v>
      </c>
      <c r="B87" s="24">
        <v>17000</v>
      </c>
      <c r="C87" s="24">
        <v>16300</v>
      </c>
      <c r="D87" s="24">
        <v>16600</v>
      </c>
      <c r="E87" s="24">
        <v>16500</v>
      </c>
      <c r="F87" s="24">
        <v>16800</v>
      </c>
    </row>
    <row r="88" spans="1:6" x14ac:dyDescent="0.15">
      <c r="A88" s="5" t="s">
        <v>121</v>
      </c>
      <c r="B88" s="8">
        <v>18.100000000000001</v>
      </c>
      <c r="C88" s="8">
        <v>19</v>
      </c>
      <c r="D88" s="8">
        <v>13.2</v>
      </c>
      <c r="E88" s="8">
        <v>12.7</v>
      </c>
      <c r="F88" s="8">
        <v>8.9</v>
      </c>
    </row>
    <row r="89" spans="1:6" x14ac:dyDescent="0.15">
      <c r="A89" s="5" t="s">
        <v>20</v>
      </c>
      <c r="B89" s="10">
        <v>44978</v>
      </c>
      <c r="C89" s="10">
        <v>45342</v>
      </c>
      <c r="D89" s="10">
        <v>45706</v>
      </c>
      <c r="E89" s="10">
        <v>45706</v>
      </c>
      <c r="F89" s="10">
        <v>45706</v>
      </c>
    </row>
    <row r="90" spans="1:6" ht="12" x14ac:dyDescent="0.15">
      <c r="A90" s="5" t="s">
        <v>19</v>
      </c>
      <c r="B90" s="9" t="s">
        <v>17</v>
      </c>
      <c r="C90" s="9" t="s">
        <v>17</v>
      </c>
      <c r="D90" s="9" t="s">
        <v>17</v>
      </c>
      <c r="E90" s="9" t="s">
        <v>17</v>
      </c>
      <c r="F90" s="9" t="s">
        <v>16</v>
      </c>
    </row>
    <row r="91" spans="1:6" ht="12" x14ac:dyDescent="0.15">
      <c r="A91" s="5" t="s">
        <v>15</v>
      </c>
      <c r="B91" s="9" t="s">
        <v>120</v>
      </c>
      <c r="C91" s="9" t="s">
        <v>120</v>
      </c>
      <c r="D91" s="9" t="s">
        <v>120</v>
      </c>
      <c r="E91" s="9" t="s">
        <v>14</v>
      </c>
      <c r="F91" s="9" t="s">
        <v>14</v>
      </c>
    </row>
    <row r="92" spans="1:6" x14ac:dyDescent="0.15">
      <c r="A92" s="5"/>
      <c r="B92" s="5"/>
      <c r="C92" s="5"/>
      <c r="D92" s="5"/>
      <c r="E92" s="5"/>
      <c r="F92" s="5"/>
    </row>
    <row r="93" spans="1:6" x14ac:dyDescent="0.15">
      <c r="A93" s="3"/>
      <c r="B93" s="3"/>
      <c r="C93" s="3"/>
      <c r="D93" s="3"/>
      <c r="E93" s="3"/>
      <c r="F93" s="3"/>
    </row>
    <row r="94" spans="1:6" x14ac:dyDescent="0.15">
      <c r="A94" s="1" t="s">
        <v>119</v>
      </c>
    </row>
    <row r="95" spans="1:6" x14ac:dyDescent="0.15">
      <c r="A95" s="2" t="s">
        <v>0</v>
      </c>
    </row>
  </sheetData>
  <pageMargins left="0.2" right="0.2" top="0.5" bottom="0.5" header="0.5" footer="0.5"/>
  <pageSetup fitToWidth="0" fitToHeight="0" orientation="landscape" horizontalDpi="0" verticalDpi="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E9DAD-B9FA-8348-817A-04325356F2EF}">
  <sheetPr>
    <outlinePr summaryBelow="0" summaryRight="0"/>
    <pageSetUpPr autoPageBreaks="0"/>
  </sheetPr>
  <dimension ref="A5:IU75"/>
  <sheetViews>
    <sheetView topLeftCell="B1" zoomScale="200" workbookViewId="0">
      <selection activeCell="B1" sqref="A1:XFD1048576"/>
    </sheetView>
  </sheetViews>
  <sheetFormatPr baseColWidth="10" defaultRowHeight="11" x14ac:dyDescent="0.15"/>
  <cols>
    <col min="1" max="1" width="45.83203125" style="1" customWidth="1"/>
    <col min="2" max="6" width="14.83203125" style="1" customWidth="1"/>
    <col min="7" max="256" width="8.83203125" style="1" customWidth="1"/>
    <col min="257" max="16384" width="10.83203125" style="1"/>
  </cols>
  <sheetData>
    <row r="5" spans="1:255" ht="17" x14ac:dyDescent="0.2">
      <c r="A5" s="23" t="s">
        <v>405</v>
      </c>
    </row>
    <row r="7" spans="1:255" ht="12" x14ac:dyDescent="0.15">
      <c r="A7" s="22" t="s">
        <v>117</v>
      </c>
      <c r="B7" s="20" t="s">
        <v>116</v>
      </c>
      <c r="C7" s="1" t="s">
        <v>115</v>
      </c>
      <c r="D7" s="5" t="s">
        <v>98</v>
      </c>
      <c r="E7" s="20" t="s">
        <v>114</v>
      </c>
      <c r="F7" s="1" t="s">
        <v>113</v>
      </c>
    </row>
    <row r="8" spans="1:255" x14ac:dyDescent="0.15">
      <c r="A8" s="5"/>
      <c r="B8" s="20" t="s">
        <v>112</v>
      </c>
      <c r="C8" s="1" t="s">
        <v>111</v>
      </c>
      <c r="D8" s="5" t="s">
        <v>98</v>
      </c>
      <c r="E8" s="20" t="s">
        <v>110</v>
      </c>
      <c r="F8" s="1" t="s">
        <v>109</v>
      </c>
    </row>
    <row r="9" spans="1:255" x14ac:dyDescent="0.15">
      <c r="A9" s="5"/>
      <c r="B9" s="20" t="s">
        <v>108</v>
      </c>
      <c r="C9" s="1" t="s">
        <v>107</v>
      </c>
      <c r="D9" s="5" t="s">
        <v>98</v>
      </c>
      <c r="E9" s="20" t="s">
        <v>106</v>
      </c>
      <c r="F9" s="1" t="s">
        <v>105</v>
      </c>
    </row>
    <row r="10" spans="1:255" x14ac:dyDescent="0.15">
      <c r="A10" s="5"/>
      <c r="B10" s="20" t="s">
        <v>104</v>
      </c>
      <c r="C10" s="1" t="s">
        <v>103</v>
      </c>
      <c r="D10" s="5" t="s">
        <v>98</v>
      </c>
      <c r="E10" s="20" t="s">
        <v>102</v>
      </c>
      <c r="F10" s="21" t="s">
        <v>101</v>
      </c>
    </row>
    <row r="11" spans="1:255" x14ac:dyDescent="0.15">
      <c r="A11" s="5"/>
      <c r="B11" s="20" t="s">
        <v>100</v>
      </c>
      <c r="C11" s="1" t="s">
        <v>99</v>
      </c>
      <c r="D11" s="5" t="s">
        <v>98</v>
      </c>
      <c r="E11" s="19"/>
      <c r="F11" s="19"/>
    </row>
    <row r="14" spans="1:255" x14ac:dyDescent="0.15">
      <c r="A14" s="18" t="s">
        <v>404</v>
      </c>
      <c r="B14" s="18"/>
      <c r="C14" s="18"/>
      <c r="D14" s="18"/>
      <c r="E14" s="18"/>
      <c r="F14" s="18"/>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c r="CT14" s="17"/>
      <c r="CU14" s="17"/>
      <c r="CV14" s="17"/>
      <c r="CW14" s="17"/>
      <c r="CX14" s="17"/>
      <c r="CY14" s="17"/>
      <c r="CZ14" s="17"/>
      <c r="DA14" s="17"/>
      <c r="DB14" s="17"/>
      <c r="DC14" s="17"/>
      <c r="DD14" s="17"/>
      <c r="DE14" s="17"/>
      <c r="DF14" s="17"/>
      <c r="DG14" s="17"/>
      <c r="DH14" s="17"/>
      <c r="DI14" s="17"/>
      <c r="DJ14" s="17"/>
      <c r="DK14" s="17"/>
      <c r="DL14" s="17"/>
      <c r="DM14" s="17"/>
      <c r="DN14" s="17"/>
      <c r="DO14" s="17"/>
      <c r="DP14" s="17"/>
      <c r="DQ14" s="17"/>
      <c r="DR14" s="17"/>
      <c r="DS14" s="17"/>
      <c r="DT14" s="17"/>
      <c r="DU14" s="17"/>
      <c r="DV14" s="17"/>
      <c r="DW14" s="17"/>
      <c r="DX14" s="17"/>
      <c r="DY14" s="17"/>
      <c r="DZ14" s="17"/>
      <c r="EA14" s="17"/>
      <c r="EB14" s="17"/>
      <c r="EC14" s="17"/>
      <c r="ED14" s="17"/>
      <c r="EE14" s="17"/>
      <c r="EF14" s="17"/>
      <c r="EG14" s="17"/>
      <c r="EH14" s="17"/>
      <c r="EI14" s="17"/>
      <c r="EJ14" s="17"/>
      <c r="EK14" s="17"/>
      <c r="EL14" s="17"/>
      <c r="EM14" s="17"/>
      <c r="EN14" s="17"/>
      <c r="EO14" s="17"/>
      <c r="EP14" s="17"/>
      <c r="EQ14" s="17"/>
      <c r="ER14" s="17"/>
      <c r="ES14" s="17"/>
      <c r="ET14" s="17"/>
      <c r="EU14" s="17"/>
      <c r="EV14" s="17"/>
      <c r="EW14" s="17"/>
      <c r="EX14" s="17"/>
      <c r="EY14" s="17"/>
      <c r="EZ14" s="17"/>
      <c r="FA14" s="17"/>
      <c r="FB14" s="17"/>
      <c r="FC14" s="17"/>
      <c r="FD14" s="17"/>
      <c r="FE14" s="17"/>
      <c r="FF14" s="17"/>
      <c r="FG14" s="17"/>
      <c r="FH14" s="17"/>
      <c r="FI14" s="17"/>
      <c r="FJ14" s="17"/>
      <c r="FK14" s="17"/>
      <c r="FL14" s="17"/>
      <c r="FM14" s="17"/>
      <c r="FN14" s="17"/>
      <c r="FO14" s="17"/>
      <c r="FP14" s="17"/>
      <c r="FQ14" s="17"/>
      <c r="FR14" s="17"/>
      <c r="FS14" s="17"/>
      <c r="FT14" s="17"/>
      <c r="FU14" s="17"/>
      <c r="FV14" s="17"/>
      <c r="FW14" s="17"/>
      <c r="FX14" s="17"/>
      <c r="FY14" s="17"/>
      <c r="FZ14" s="17"/>
      <c r="GA14" s="17"/>
      <c r="GB14" s="17"/>
      <c r="GC14" s="17"/>
      <c r="GD14" s="17"/>
      <c r="GE14" s="17"/>
      <c r="GF14" s="17"/>
      <c r="GG14" s="17"/>
      <c r="GH14" s="17"/>
      <c r="GI14" s="17"/>
      <c r="GJ14" s="17"/>
      <c r="GK14" s="17"/>
      <c r="GL14" s="17"/>
      <c r="GM14" s="17"/>
      <c r="GN14" s="17"/>
      <c r="GO14" s="17"/>
      <c r="GP14" s="17"/>
      <c r="GQ14" s="17"/>
      <c r="GR14" s="17"/>
      <c r="GS14" s="17"/>
      <c r="GT14" s="17"/>
      <c r="GU14" s="17"/>
      <c r="GV14" s="17"/>
      <c r="GW14" s="17"/>
      <c r="GX14" s="17"/>
      <c r="GY14" s="17"/>
      <c r="GZ14" s="17"/>
      <c r="HA14" s="17"/>
      <c r="HB14" s="17"/>
      <c r="HC14" s="17"/>
      <c r="HD14" s="17"/>
      <c r="HE14" s="17"/>
      <c r="HF14" s="17"/>
      <c r="HG14" s="17"/>
      <c r="HH14" s="17"/>
      <c r="HI14" s="17"/>
      <c r="HJ14" s="17"/>
      <c r="HK14" s="17"/>
      <c r="HL14" s="17"/>
      <c r="HM14" s="17"/>
      <c r="HN14" s="17"/>
      <c r="HO14" s="17"/>
      <c r="HP14" s="17"/>
      <c r="HQ14" s="17"/>
      <c r="HR14" s="17"/>
      <c r="HS14" s="17"/>
      <c r="HT14" s="17"/>
      <c r="HU14" s="17"/>
      <c r="HV14" s="17"/>
      <c r="HW14" s="17"/>
      <c r="HX14" s="17"/>
      <c r="HY14" s="17"/>
      <c r="HZ14" s="17"/>
      <c r="IA14" s="17"/>
      <c r="IB14" s="17"/>
      <c r="IC14" s="17"/>
      <c r="ID14" s="17"/>
      <c r="IE14" s="17"/>
      <c r="IF14" s="17"/>
      <c r="IG14" s="17"/>
      <c r="IH14" s="17"/>
      <c r="II14" s="17"/>
      <c r="IJ14" s="17"/>
      <c r="IK14" s="17"/>
      <c r="IL14" s="17"/>
      <c r="IM14" s="17"/>
      <c r="IN14" s="17"/>
      <c r="IO14" s="17"/>
      <c r="IP14" s="17"/>
      <c r="IQ14" s="17"/>
      <c r="IR14" s="17"/>
      <c r="IS14" s="17"/>
      <c r="IT14" s="17"/>
      <c r="IU14" s="17"/>
    </row>
    <row r="15" spans="1:255" ht="24" x14ac:dyDescent="0.15">
      <c r="A15" s="27" t="s">
        <v>96</v>
      </c>
      <c r="B15" s="28">
        <v>2020</v>
      </c>
      <c r="C15" s="28">
        <f>B15+1</f>
        <v>2021</v>
      </c>
      <c r="D15" s="28">
        <f t="shared" ref="D15:F15" si="0">C15+1</f>
        <v>2022</v>
      </c>
      <c r="E15" s="28">
        <f t="shared" si="0"/>
        <v>2023</v>
      </c>
      <c r="F15" s="28">
        <f t="shared" si="0"/>
        <v>2024</v>
      </c>
    </row>
    <row r="16" spans="1:255" ht="12" x14ac:dyDescent="0.15">
      <c r="A16" s="29" t="s">
        <v>89</v>
      </c>
      <c r="B16" s="30" t="s">
        <v>88</v>
      </c>
      <c r="C16" s="30" t="s">
        <v>88</v>
      </c>
      <c r="D16" s="30" t="s">
        <v>88</v>
      </c>
      <c r="E16" s="30" t="s">
        <v>88</v>
      </c>
      <c r="F16" s="30" t="s">
        <v>88</v>
      </c>
    </row>
    <row r="17" spans="1:6" x14ac:dyDescent="0.15">
      <c r="A17" s="7" t="s">
        <v>403</v>
      </c>
      <c r="B17" s="5"/>
      <c r="C17" s="5"/>
      <c r="D17" s="5"/>
      <c r="E17" s="5"/>
      <c r="F17" s="5"/>
    </row>
    <row r="18" spans="1:6" x14ac:dyDescent="0.15">
      <c r="A18" s="7" t="s">
        <v>402</v>
      </c>
      <c r="B18" s="6">
        <v>-949</v>
      </c>
      <c r="C18" s="6">
        <v>1005.7</v>
      </c>
      <c r="D18" s="6">
        <v>-175.3</v>
      </c>
      <c r="E18" s="6">
        <v>948.9</v>
      </c>
      <c r="F18" s="6">
        <v>1122.4000000000001</v>
      </c>
    </row>
    <row r="19" spans="1:6" x14ac:dyDescent="0.15">
      <c r="A19" s="5" t="s">
        <v>80</v>
      </c>
      <c r="B19" s="8">
        <v>589.70000000000005</v>
      </c>
      <c r="C19" s="8">
        <v>552.70000000000005</v>
      </c>
      <c r="D19" s="8">
        <v>476.7</v>
      </c>
      <c r="E19" s="8">
        <v>475.5</v>
      </c>
      <c r="F19" s="8">
        <v>459.4</v>
      </c>
    </row>
    <row r="20" spans="1:6" x14ac:dyDescent="0.15">
      <c r="A20" s="5" t="s">
        <v>79</v>
      </c>
      <c r="B20" s="8">
        <v>220</v>
      </c>
      <c r="C20" s="8">
        <v>218</v>
      </c>
      <c r="D20" s="8">
        <v>208.1</v>
      </c>
      <c r="E20" s="8">
        <v>207.3</v>
      </c>
      <c r="F20" s="8">
        <v>206.4</v>
      </c>
    </row>
    <row r="21" spans="1:6" x14ac:dyDescent="0.15">
      <c r="A21" s="7" t="s">
        <v>401</v>
      </c>
      <c r="B21" s="16">
        <v>809.7</v>
      </c>
      <c r="C21" s="16">
        <v>770.7</v>
      </c>
      <c r="D21" s="16">
        <v>684.8</v>
      </c>
      <c r="E21" s="16">
        <v>682.8</v>
      </c>
      <c r="F21" s="16">
        <v>665.8</v>
      </c>
    </row>
    <row r="22" spans="1:6" x14ac:dyDescent="0.15">
      <c r="A22" s="5"/>
      <c r="B22" s="5"/>
      <c r="C22" s="5"/>
      <c r="D22" s="5"/>
      <c r="E22" s="5"/>
      <c r="F22" s="5"/>
    </row>
    <row r="23" spans="1:6" x14ac:dyDescent="0.15">
      <c r="A23" s="5" t="s">
        <v>400</v>
      </c>
      <c r="B23" s="8">
        <v>8.1</v>
      </c>
      <c r="C23" s="8">
        <v>6.7</v>
      </c>
      <c r="D23" s="8">
        <v>7.7</v>
      </c>
      <c r="E23" s="8">
        <v>5.7</v>
      </c>
      <c r="F23" s="8">
        <v>5.3</v>
      </c>
    </row>
    <row r="24" spans="1:6" x14ac:dyDescent="0.15">
      <c r="A24" s="5" t="s">
        <v>399</v>
      </c>
      <c r="B24" s="8">
        <v>-1415.1</v>
      </c>
      <c r="C24" s="8">
        <v>9.1</v>
      </c>
      <c r="D24" s="8">
        <v>18.600000000000001</v>
      </c>
      <c r="E24" s="8">
        <v>181.9</v>
      </c>
      <c r="F24" s="8">
        <v>51.8</v>
      </c>
    </row>
    <row r="25" spans="1:6" ht="12" x14ac:dyDescent="0.15">
      <c r="A25" s="5" t="s">
        <v>398</v>
      </c>
      <c r="B25" s="8">
        <v>3080.9</v>
      </c>
      <c r="C25" s="8">
        <v>15.4</v>
      </c>
      <c r="D25" s="8">
        <v>845</v>
      </c>
      <c r="E25" s="8" t="s">
        <v>4</v>
      </c>
      <c r="F25" s="8">
        <v>93.6</v>
      </c>
    </row>
    <row r="26" spans="1:6" ht="12" x14ac:dyDescent="0.15">
      <c r="A26" s="5" t="s">
        <v>397</v>
      </c>
      <c r="B26" s="8" t="s">
        <v>4</v>
      </c>
      <c r="C26" s="8" t="s">
        <v>4</v>
      </c>
      <c r="D26" s="8">
        <v>-4.7</v>
      </c>
      <c r="E26" s="8">
        <v>-12</v>
      </c>
      <c r="F26" s="8">
        <v>-2.7</v>
      </c>
    </row>
    <row r="27" spans="1:6" x14ac:dyDescent="0.15">
      <c r="A27" s="5" t="s">
        <v>396</v>
      </c>
      <c r="B27" s="8">
        <v>24.2</v>
      </c>
      <c r="C27" s="8">
        <v>32.1</v>
      </c>
      <c r="D27" s="8">
        <v>33.6</v>
      </c>
      <c r="E27" s="8">
        <v>44.9</v>
      </c>
      <c r="F27" s="8">
        <v>43.1</v>
      </c>
    </row>
    <row r="28" spans="1:6" x14ac:dyDescent="0.15">
      <c r="A28" s="5" t="s">
        <v>395</v>
      </c>
      <c r="B28" s="8">
        <v>60.8</v>
      </c>
      <c r="C28" s="8">
        <v>-230.1</v>
      </c>
      <c r="D28" s="8">
        <v>275.5</v>
      </c>
      <c r="E28" s="8">
        <v>146.4</v>
      </c>
      <c r="F28" s="8">
        <v>109.1</v>
      </c>
    </row>
    <row r="29" spans="1:6" x14ac:dyDescent="0.15">
      <c r="A29" s="5" t="s">
        <v>394</v>
      </c>
      <c r="B29" s="8">
        <v>160.80000000000001</v>
      </c>
      <c r="C29" s="8">
        <v>-137.6</v>
      </c>
      <c r="D29" s="8">
        <v>-108.5</v>
      </c>
      <c r="E29" s="8">
        <v>-0.7</v>
      </c>
      <c r="F29" s="8">
        <v>39.6</v>
      </c>
    </row>
    <row r="30" spans="1:6" x14ac:dyDescent="0.15">
      <c r="A30" s="5" t="s">
        <v>393</v>
      </c>
      <c r="B30" s="8">
        <v>-46.2</v>
      </c>
      <c r="C30" s="8">
        <v>-143.9</v>
      </c>
      <c r="D30" s="8">
        <v>-64.599999999999994</v>
      </c>
      <c r="E30" s="8">
        <v>21.7</v>
      </c>
      <c r="F30" s="8">
        <v>55.1</v>
      </c>
    </row>
    <row r="31" spans="1:6" x14ac:dyDescent="0.15">
      <c r="A31" s="5" t="s">
        <v>392</v>
      </c>
      <c r="B31" s="8">
        <v>-50.1</v>
      </c>
      <c r="C31" s="8">
        <v>285.5</v>
      </c>
      <c r="D31" s="8">
        <v>-16.100000000000001</v>
      </c>
      <c r="E31" s="8">
        <v>50.2</v>
      </c>
      <c r="F31" s="8">
        <v>-234.4</v>
      </c>
    </row>
    <row r="32" spans="1:6" x14ac:dyDescent="0.15">
      <c r="A32" s="5" t="s">
        <v>391</v>
      </c>
      <c r="B32" s="8">
        <v>11.6</v>
      </c>
      <c r="C32" s="8">
        <v>-40.1</v>
      </c>
      <c r="D32" s="8">
        <v>6</v>
      </c>
      <c r="E32" s="8">
        <v>9.1999999999999993</v>
      </c>
      <c r="F32" s="8">
        <v>-38.4</v>
      </c>
    </row>
    <row r="33" spans="1:6" x14ac:dyDescent="0.15">
      <c r="A33" s="7" t="s">
        <v>205</v>
      </c>
      <c r="B33" s="16">
        <v>1695.7</v>
      </c>
      <c r="C33" s="16">
        <v>1573.5</v>
      </c>
      <c r="D33" s="16">
        <v>1502</v>
      </c>
      <c r="E33" s="16">
        <v>2079</v>
      </c>
      <c r="F33" s="16">
        <v>1910.3</v>
      </c>
    </row>
    <row r="34" spans="1:6" x14ac:dyDescent="0.15">
      <c r="A34" s="5"/>
      <c r="B34" s="5"/>
      <c r="C34" s="5"/>
      <c r="D34" s="5"/>
      <c r="E34" s="5"/>
      <c r="F34" s="5"/>
    </row>
    <row r="35" spans="1:6" x14ac:dyDescent="0.15">
      <c r="A35" s="5" t="s">
        <v>390</v>
      </c>
      <c r="B35" s="8">
        <v>-574.79999999999995</v>
      </c>
      <c r="C35" s="8">
        <v>-522.6</v>
      </c>
      <c r="D35" s="8">
        <v>-661.4</v>
      </c>
      <c r="E35" s="8">
        <v>-671.5</v>
      </c>
      <c r="F35" s="8">
        <v>-674.1</v>
      </c>
    </row>
    <row r="36" spans="1:6" x14ac:dyDescent="0.15">
      <c r="A36" s="5" t="s">
        <v>389</v>
      </c>
      <c r="B36" s="8">
        <v>158.80000000000001</v>
      </c>
      <c r="C36" s="8">
        <v>26</v>
      </c>
      <c r="D36" s="8">
        <v>32.200000000000003</v>
      </c>
      <c r="E36" s="8">
        <v>10.9</v>
      </c>
      <c r="F36" s="8">
        <v>24.5</v>
      </c>
    </row>
    <row r="37" spans="1:6" ht="12" x14ac:dyDescent="0.15">
      <c r="A37" s="5" t="s">
        <v>388</v>
      </c>
      <c r="B37" s="8" t="s">
        <v>4</v>
      </c>
      <c r="C37" s="8" t="s">
        <v>4</v>
      </c>
      <c r="D37" s="8" t="s">
        <v>4</v>
      </c>
      <c r="E37" s="8">
        <v>-63.7</v>
      </c>
      <c r="F37" s="8">
        <v>-8.6</v>
      </c>
    </row>
    <row r="38" spans="1:6" ht="12" x14ac:dyDescent="0.15">
      <c r="A38" s="5" t="s">
        <v>387</v>
      </c>
      <c r="B38" s="8" t="s">
        <v>4</v>
      </c>
      <c r="C38" s="8" t="s">
        <v>4</v>
      </c>
      <c r="D38" s="8" t="s">
        <v>4</v>
      </c>
      <c r="E38" s="8" t="s">
        <v>4</v>
      </c>
      <c r="F38" s="8" t="s">
        <v>4</v>
      </c>
    </row>
    <row r="39" spans="1:6" ht="12" x14ac:dyDescent="0.15">
      <c r="A39" s="5" t="s">
        <v>386</v>
      </c>
      <c r="B39" s="8" t="s">
        <v>4</v>
      </c>
      <c r="C39" s="8" t="s">
        <v>4</v>
      </c>
      <c r="D39" s="8" t="s">
        <v>4</v>
      </c>
      <c r="E39" s="8" t="s">
        <v>4</v>
      </c>
      <c r="F39" s="8" t="s">
        <v>4</v>
      </c>
    </row>
    <row r="40" spans="1:6" ht="12" x14ac:dyDescent="0.15">
      <c r="A40" s="5" t="s">
        <v>385</v>
      </c>
      <c r="B40" s="8" t="s">
        <v>4</v>
      </c>
      <c r="C40" s="8" t="s">
        <v>4</v>
      </c>
      <c r="D40" s="8" t="s">
        <v>4</v>
      </c>
      <c r="E40" s="8" t="s">
        <v>4</v>
      </c>
      <c r="F40" s="8" t="s">
        <v>4</v>
      </c>
    </row>
    <row r="41" spans="1:6" x14ac:dyDescent="0.15">
      <c r="A41" s="5" t="s">
        <v>384</v>
      </c>
      <c r="B41" s="8">
        <v>2.4</v>
      </c>
      <c r="C41" s="8">
        <v>-13.3</v>
      </c>
      <c r="D41" s="8">
        <v>4.0999999999999996</v>
      </c>
      <c r="E41" s="8">
        <v>-117.4</v>
      </c>
      <c r="F41" s="8">
        <v>10.199999999999999</v>
      </c>
    </row>
    <row r="42" spans="1:6" x14ac:dyDescent="0.15">
      <c r="A42" s="7" t="s">
        <v>383</v>
      </c>
      <c r="B42" s="16">
        <v>-413.6</v>
      </c>
      <c r="C42" s="16">
        <v>-509.9</v>
      </c>
      <c r="D42" s="16">
        <v>-625.1</v>
      </c>
      <c r="E42" s="16">
        <v>-841.7</v>
      </c>
      <c r="F42" s="16">
        <v>-648</v>
      </c>
    </row>
    <row r="43" spans="1:6" x14ac:dyDescent="0.15">
      <c r="A43" s="5"/>
      <c r="B43" s="5"/>
      <c r="C43" s="5"/>
      <c r="D43" s="5"/>
      <c r="E43" s="5"/>
      <c r="F43" s="5"/>
    </row>
    <row r="44" spans="1:6" ht="12" x14ac:dyDescent="0.15">
      <c r="A44" s="5" t="s">
        <v>382</v>
      </c>
      <c r="B44" s="8" t="s">
        <v>4</v>
      </c>
      <c r="C44" s="8" t="s">
        <v>4</v>
      </c>
      <c r="D44" s="8" t="s">
        <v>4</v>
      </c>
      <c r="E44" s="8" t="s">
        <v>4</v>
      </c>
      <c r="F44" s="8" t="s">
        <v>4</v>
      </c>
    </row>
    <row r="45" spans="1:6" x14ac:dyDescent="0.15">
      <c r="A45" s="5" t="s">
        <v>381</v>
      </c>
      <c r="B45" s="8">
        <v>1.5</v>
      </c>
      <c r="C45" s="8">
        <v>1.4</v>
      </c>
      <c r="D45" s="8">
        <v>7</v>
      </c>
      <c r="E45" s="8">
        <v>7</v>
      </c>
      <c r="F45" s="8">
        <v>863.7</v>
      </c>
    </row>
    <row r="46" spans="1:6" x14ac:dyDescent="0.15">
      <c r="A46" s="7" t="s">
        <v>380</v>
      </c>
      <c r="B46" s="16">
        <v>1.5</v>
      </c>
      <c r="C46" s="16">
        <v>1.4</v>
      </c>
      <c r="D46" s="16">
        <v>7</v>
      </c>
      <c r="E46" s="16">
        <v>7</v>
      </c>
      <c r="F46" s="16">
        <v>863.7</v>
      </c>
    </row>
    <row r="47" spans="1:6" ht="12" x14ac:dyDescent="0.15">
      <c r="A47" s="5" t="s">
        <v>379</v>
      </c>
      <c r="B47" s="8" t="s">
        <v>4</v>
      </c>
      <c r="C47" s="8" t="s">
        <v>4</v>
      </c>
      <c r="D47" s="8" t="s">
        <v>4</v>
      </c>
      <c r="E47" s="8" t="s">
        <v>4</v>
      </c>
      <c r="F47" s="8" t="s">
        <v>4</v>
      </c>
    </row>
    <row r="48" spans="1:6" x14ac:dyDescent="0.15">
      <c r="A48" s="5" t="s">
        <v>378</v>
      </c>
      <c r="B48" s="8">
        <v>-918.9</v>
      </c>
      <c r="C48" s="8">
        <v>-1006.6</v>
      </c>
      <c r="D48" s="8">
        <v>-512.79999999999995</v>
      </c>
      <c r="E48" s="8">
        <v>-404.8</v>
      </c>
      <c r="F48" s="8">
        <v>-883.8</v>
      </c>
    </row>
    <row r="49" spans="1:6" x14ac:dyDescent="0.15">
      <c r="A49" s="7" t="s">
        <v>377</v>
      </c>
      <c r="B49" s="16">
        <v>-918.9</v>
      </c>
      <c r="C49" s="16">
        <v>-1006.6</v>
      </c>
      <c r="D49" s="16">
        <v>-512.79999999999995</v>
      </c>
      <c r="E49" s="16">
        <v>-404.8</v>
      </c>
      <c r="F49" s="16">
        <v>-883.8</v>
      </c>
    </row>
    <row r="50" spans="1:6" x14ac:dyDescent="0.15">
      <c r="A50" s="5"/>
      <c r="B50" s="5"/>
      <c r="C50" s="5"/>
      <c r="D50" s="5"/>
      <c r="E50" s="5"/>
      <c r="F50" s="5"/>
    </row>
    <row r="51" spans="1:6" ht="12" x14ac:dyDescent="0.15">
      <c r="A51" s="5" t="s">
        <v>376</v>
      </c>
      <c r="B51" s="8">
        <v>4.0999999999999996</v>
      </c>
      <c r="C51" s="8">
        <v>4.5999999999999996</v>
      </c>
      <c r="D51" s="8" t="s">
        <v>4</v>
      </c>
      <c r="E51" s="8" t="s">
        <v>4</v>
      </c>
      <c r="F51" s="8" t="s">
        <v>4</v>
      </c>
    </row>
    <row r="52" spans="1:6" ht="12" x14ac:dyDescent="0.15">
      <c r="A52" s="5" t="s">
        <v>375</v>
      </c>
      <c r="B52" s="8" t="s">
        <v>4</v>
      </c>
      <c r="C52" s="8" t="s">
        <v>4</v>
      </c>
      <c r="D52" s="8">
        <v>-51.5</v>
      </c>
      <c r="E52" s="8">
        <v>-205.8</v>
      </c>
      <c r="F52" s="8">
        <v>-643.4</v>
      </c>
    </row>
    <row r="53" spans="1:6" x14ac:dyDescent="0.15">
      <c r="A53" s="5"/>
      <c r="B53" s="5"/>
      <c r="C53" s="5"/>
      <c r="D53" s="5"/>
      <c r="E53" s="5"/>
      <c r="F53" s="5"/>
    </row>
    <row r="54" spans="1:6" x14ac:dyDescent="0.15">
      <c r="A54" s="5" t="s">
        <v>374</v>
      </c>
      <c r="B54" s="8">
        <v>-125.3</v>
      </c>
      <c r="C54" s="8">
        <v>-147.80000000000001</v>
      </c>
      <c r="D54" s="8">
        <v>-329.3</v>
      </c>
      <c r="E54" s="8">
        <v>-354.7</v>
      </c>
      <c r="F54" s="8">
        <v>-369.2</v>
      </c>
    </row>
    <row r="55" spans="1:6" x14ac:dyDescent="0.15">
      <c r="A55" s="7" t="s">
        <v>373</v>
      </c>
      <c r="B55" s="16">
        <v>-125.3</v>
      </c>
      <c r="C55" s="16">
        <v>-147.80000000000001</v>
      </c>
      <c r="D55" s="16">
        <v>-329.3</v>
      </c>
      <c r="E55" s="16">
        <v>-354.7</v>
      </c>
      <c r="F55" s="16">
        <v>-369.2</v>
      </c>
    </row>
    <row r="56" spans="1:6" x14ac:dyDescent="0.15">
      <c r="A56" s="5"/>
      <c r="B56" s="5"/>
      <c r="C56" s="5"/>
      <c r="D56" s="5"/>
      <c r="E56" s="5"/>
      <c r="F56" s="5"/>
    </row>
    <row r="57" spans="1:6" ht="12" x14ac:dyDescent="0.15">
      <c r="A57" s="5" t="s">
        <v>372</v>
      </c>
      <c r="B57" s="8" t="s">
        <v>4</v>
      </c>
      <c r="C57" s="8" t="s">
        <v>4</v>
      </c>
      <c r="D57" s="8" t="s">
        <v>4</v>
      </c>
      <c r="E57" s="8" t="s">
        <v>4</v>
      </c>
      <c r="F57" s="8" t="s">
        <v>4</v>
      </c>
    </row>
    <row r="58" spans="1:6" x14ac:dyDescent="0.15">
      <c r="A58" s="5" t="s">
        <v>371</v>
      </c>
      <c r="B58" s="8">
        <v>-31.8</v>
      </c>
      <c r="C58" s="8">
        <v>-23.8</v>
      </c>
      <c r="D58" s="8">
        <v>-2.9</v>
      </c>
      <c r="E58" s="8">
        <v>-23.1</v>
      </c>
      <c r="F58" s="8">
        <v>-105.7</v>
      </c>
    </row>
    <row r="59" spans="1:6" x14ac:dyDescent="0.15">
      <c r="A59" s="7" t="s">
        <v>370</v>
      </c>
      <c r="B59" s="16">
        <v>-1070.4000000000001</v>
      </c>
      <c r="C59" s="16">
        <v>-1172.2</v>
      </c>
      <c r="D59" s="16">
        <v>-889.5</v>
      </c>
      <c r="E59" s="16">
        <v>-981.4</v>
      </c>
      <c r="F59" s="16">
        <v>-1138.4000000000001</v>
      </c>
    </row>
    <row r="60" spans="1:6" x14ac:dyDescent="0.15">
      <c r="A60" s="5"/>
      <c r="B60" s="5"/>
      <c r="C60" s="5"/>
      <c r="D60" s="5"/>
      <c r="E60" s="5"/>
      <c r="F60" s="5"/>
    </row>
    <row r="61" spans="1:6" x14ac:dyDescent="0.15">
      <c r="A61" s="5" t="s">
        <v>369</v>
      </c>
      <c r="B61" s="8">
        <v>35</v>
      </c>
      <c r="C61" s="8">
        <v>-24.1</v>
      </c>
      <c r="D61" s="8">
        <v>-24.8</v>
      </c>
      <c r="E61" s="8">
        <v>13</v>
      </c>
      <c r="F61" s="8">
        <v>-23.5</v>
      </c>
    </row>
    <row r="62" spans="1:6" x14ac:dyDescent="0.15">
      <c r="A62" s="7" t="s">
        <v>368</v>
      </c>
      <c r="B62" s="15">
        <v>246.7</v>
      </c>
      <c r="C62" s="15">
        <v>-132.69999999999999</v>
      </c>
      <c r="D62" s="15">
        <v>-37.4</v>
      </c>
      <c r="E62" s="15">
        <v>268.89999999999998</v>
      </c>
      <c r="F62" s="15">
        <v>100.4</v>
      </c>
    </row>
    <row r="63" spans="1:6" x14ac:dyDescent="0.15">
      <c r="A63" s="5"/>
      <c r="B63" s="5"/>
      <c r="C63" s="5"/>
      <c r="D63" s="5"/>
      <c r="E63" s="5"/>
      <c r="F63" s="5"/>
    </row>
    <row r="64" spans="1:6" x14ac:dyDescent="0.15">
      <c r="A64" s="7" t="s">
        <v>37</v>
      </c>
      <c r="B64" s="5"/>
      <c r="C64" s="5"/>
      <c r="D64" s="5"/>
      <c r="E64" s="5"/>
      <c r="F64" s="5"/>
    </row>
    <row r="65" spans="1:6" x14ac:dyDescent="0.15">
      <c r="A65" s="5" t="s">
        <v>367</v>
      </c>
      <c r="B65" s="8">
        <v>271.89999999999998</v>
      </c>
      <c r="C65" s="8">
        <v>256.2</v>
      </c>
      <c r="D65" s="8">
        <v>240</v>
      </c>
      <c r="E65" s="8">
        <v>229</v>
      </c>
      <c r="F65" s="8">
        <v>216</v>
      </c>
    </row>
    <row r="66" spans="1:6" x14ac:dyDescent="0.15">
      <c r="A66" s="5" t="s">
        <v>366</v>
      </c>
      <c r="B66" s="8">
        <v>127</v>
      </c>
      <c r="C66" s="8">
        <v>227</v>
      </c>
      <c r="D66" s="8">
        <v>76.599999999999994</v>
      </c>
      <c r="E66" s="8">
        <v>244.8</v>
      </c>
      <c r="F66" s="8">
        <v>227.1</v>
      </c>
    </row>
    <row r="67" spans="1:6" x14ac:dyDescent="0.15">
      <c r="A67" s="5" t="s">
        <v>365</v>
      </c>
      <c r="B67" s="8">
        <v>1050.125</v>
      </c>
      <c r="C67" s="8">
        <v>796.92499999999995</v>
      </c>
      <c r="D67" s="8">
        <v>656.4</v>
      </c>
      <c r="E67" s="8">
        <v>1173.7874999999999</v>
      </c>
      <c r="F67" s="8">
        <v>928.125</v>
      </c>
    </row>
    <row r="68" spans="1:6" x14ac:dyDescent="0.15">
      <c r="A68" s="5" t="s">
        <v>364</v>
      </c>
      <c r="B68" s="8">
        <v>1213.6500000000001</v>
      </c>
      <c r="C68" s="8">
        <v>952.91250000000002</v>
      </c>
      <c r="D68" s="8">
        <v>805.32500000000005</v>
      </c>
      <c r="E68" s="8">
        <v>1314.3375000000001</v>
      </c>
      <c r="F68" s="8">
        <v>1099.5125</v>
      </c>
    </row>
    <row r="69" spans="1:6" x14ac:dyDescent="0.15">
      <c r="A69" s="5" t="s">
        <v>348</v>
      </c>
      <c r="B69" s="8">
        <v>-86.3</v>
      </c>
      <c r="C69" s="8">
        <v>293.10000000000002</v>
      </c>
      <c r="D69" s="8">
        <v>-42.7</v>
      </c>
      <c r="E69" s="8">
        <v>-258.7</v>
      </c>
      <c r="F69" s="8">
        <v>67.099999999999994</v>
      </c>
    </row>
    <row r="70" spans="1:6" x14ac:dyDescent="0.15">
      <c r="A70" s="5" t="s">
        <v>363</v>
      </c>
      <c r="B70" s="8">
        <v>-917.4</v>
      </c>
      <c r="C70" s="8">
        <v>-1005.2</v>
      </c>
      <c r="D70" s="8">
        <v>-505.8</v>
      </c>
      <c r="E70" s="8">
        <v>-397.8</v>
      </c>
      <c r="F70" s="8">
        <v>-20.100000000000001</v>
      </c>
    </row>
    <row r="71" spans="1:6" x14ac:dyDescent="0.15">
      <c r="A71" s="5" t="s">
        <v>20</v>
      </c>
      <c r="B71" s="10">
        <v>44978</v>
      </c>
      <c r="C71" s="10">
        <v>45342</v>
      </c>
      <c r="D71" s="10">
        <v>45706</v>
      </c>
      <c r="E71" s="10">
        <v>45706</v>
      </c>
      <c r="F71" s="10">
        <v>45706</v>
      </c>
    </row>
    <row r="72" spans="1:6" ht="12" x14ac:dyDescent="0.15">
      <c r="A72" s="5" t="s">
        <v>19</v>
      </c>
      <c r="B72" s="9" t="s">
        <v>17</v>
      </c>
      <c r="C72" s="9" t="s">
        <v>17</v>
      </c>
      <c r="D72" s="9" t="s">
        <v>17</v>
      </c>
      <c r="E72" s="9" t="s">
        <v>17</v>
      </c>
      <c r="F72" s="9" t="s">
        <v>16</v>
      </c>
    </row>
    <row r="73" spans="1:6" ht="12" x14ac:dyDescent="0.15">
      <c r="A73" s="5" t="s">
        <v>15</v>
      </c>
      <c r="B73" s="9" t="s">
        <v>14</v>
      </c>
      <c r="C73" s="9" t="s">
        <v>14</v>
      </c>
      <c r="D73" s="9" t="s">
        <v>14</v>
      </c>
      <c r="E73" s="9" t="s">
        <v>14</v>
      </c>
      <c r="F73" s="9" t="s">
        <v>14</v>
      </c>
    </row>
    <row r="74" spans="1:6" x14ac:dyDescent="0.15">
      <c r="A74" s="5"/>
      <c r="B74" s="5"/>
      <c r="C74" s="5"/>
      <c r="D74" s="5"/>
      <c r="E74" s="5"/>
      <c r="F74" s="5"/>
    </row>
    <row r="75" spans="1:6" ht="72" x14ac:dyDescent="0.15">
      <c r="A75" s="35" t="s">
        <v>0</v>
      </c>
      <c r="B75" s="3"/>
      <c r="C75" s="3"/>
      <c r="D75" s="3"/>
      <c r="E75" s="3"/>
      <c r="F75" s="3"/>
    </row>
  </sheetData>
  <pageMargins left="0.2" right="0.2" top="0.5" bottom="0.5" header="0.5" footer="0.5"/>
  <pageSetup fitToWidth="0" fitToHeight="0" orientation="landscape" horizontalDpi="0" verticalDpi="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5452F-0BDF-6948-821C-71BD5BF827AC}">
  <sheetPr>
    <outlinePr summaryBelow="0" summaryRight="0"/>
    <pageSetUpPr autoPageBreaks="0"/>
  </sheetPr>
  <dimension ref="A1:IU43"/>
  <sheetViews>
    <sheetView topLeftCell="A9" zoomScale="132" workbookViewId="0">
      <selection activeCell="H13" sqref="H13"/>
    </sheetView>
  </sheetViews>
  <sheetFormatPr baseColWidth="10" defaultRowHeight="11" x14ac:dyDescent="0.15"/>
  <cols>
    <col min="1" max="1" width="45.83203125" style="1" customWidth="1"/>
    <col min="2" max="6" width="14.83203125" style="1" customWidth="1"/>
    <col min="7" max="256" width="8.83203125" style="1" customWidth="1"/>
    <col min="257" max="16384" width="10.83203125" style="1"/>
  </cols>
  <sheetData>
    <row r="1" spans="1:255" ht="17" x14ac:dyDescent="0.2">
      <c r="A1" s="23" t="s">
        <v>118</v>
      </c>
    </row>
    <row r="3" spans="1:255" x14ac:dyDescent="0.15">
      <c r="A3" s="5"/>
      <c r="B3" s="20" t="s">
        <v>116</v>
      </c>
      <c r="C3" s="1" t="s">
        <v>454</v>
      </c>
      <c r="D3" s="5" t="s">
        <v>98</v>
      </c>
      <c r="E3" s="20" t="s">
        <v>114</v>
      </c>
      <c r="F3" s="1" t="s">
        <v>113</v>
      </c>
    </row>
    <row r="4" spans="1:255" x14ac:dyDescent="0.15">
      <c r="A4" s="5"/>
      <c r="B4" s="20" t="s">
        <v>112</v>
      </c>
      <c r="C4" s="1" t="s">
        <v>111</v>
      </c>
      <c r="D4" s="5" t="s">
        <v>98</v>
      </c>
      <c r="E4" s="20" t="s">
        <v>110</v>
      </c>
      <c r="F4" s="1" t="s">
        <v>109</v>
      </c>
    </row>
    <row r="5" spans="1:255" x14ac:dyDescent="0.15">
      <c r="A5" s="5"/>
      <c r="B5" s="20" t="s">
        <v>108</v>
      </c>
      <c r="C5" s="1" t="s">
        <v>107</v>
      </c>
      <c r="D5" s="5" t="s">
        <v>98</v>
      </c>
      <c r="E5" s="20" t="s">
        <v>106</v>
      </c>
      <c r="F5" s="1" t="s">
        <v>105</v>
      </c>
    </row>
    <row r="6" spans="1:255" x14ac:dyDescent="0.15">
      <c r="A6" s="5"/>
      <c r="B6" s="20" t="s">
        <v>104</v>
      </c>
      <c r="C6" s="1" t="s">
        <v>103</v>
      </c>
      <c r="D6" s="5" t="s">
        <v>98</v>
      </c>
      <c r="E6" s="20" t="s">
        <v>102</v>
      </c>
      <c r="F6" s="21" t="s">
        <v>101</v>
      </c>
    </row>
    <row r="7" spans="1:255" x14ac:dyDescent="0.15">
      <c r="A7" s="5"/>
      <c r="B7" s="20" t="s">
        <v>100</v>
      </c>
      <c r="C7" s="1" t="s">
        <v>99</v>
      </c>
      <c r="D7" s="5" t="s">
        <v>98</v>
      </c>
      <c r="E7" s="19"/>
      <c r="F7" s="19"/>
    </row>
    <row r="10" spans="1:255" x14ac:dyDescent="0.15">
      <c r="A10" s="18" t="s">
        <v>97</v>
      </c>
      <c r="B10" s="18"/>
      <c r="C10" s="18"/>
      <c r="D10" s="18"/>
      <c r="E10" s="18"/>
      <c r="F10" s="18"/>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row>
    <row r="11" spans="1:255" ht="24" x14ac:dyDescent="0.15">
      <c r="A11" s="27" t="s">
        <v>96</v>
      </c>
      <c r="B11" s="28">
        <v>2020</v>
      </c>
      <c r="C11" s="28">
        <f>B11+1</f>
        <v>2021</v>
      </c>
      <c r="D11" s="28">
        <f t="shared" ref="D11:F11" si="0">C11+1</f>
        <v>2022</v>
      </c>
      <c r="E11" s="28">
        <f t="shared" si="0"/>
        <v>2023</v>
      </c>
      <c r="F11" s="28">
        <f t="shared" si="0"/>
        <v>2024</v>
      </c>
    </row>
    <row r="12" spans="1:255" ht="12" x14ac:dyDescent="0.15">
      <c r="A12" s="29" t="s">
        <v>89</v>
      </c>
      <c r="B12" s="30" t="s">
        <v>88</v>
      </c>
      <c r="C12" s="30" t="s">
        <v>88</v>
      </c>
      <c r="D12" s="30" t="s">
        <v>88</v>
      </c>
      <c r="E12" s="30" t="s">
        <v>88</v>
      </c>
      <c r="F12" s="30" t="s">
        <v>88</v>
      </c>
    </row>
    <row r="13" spans="1:255" x14ac:dyDescent="0.15">
      <c r="A13" s="18" t="s">
        <v>453</v>
      </c>
      <c r="B13" s="18" t="s">
        <v>452</v>
      </c>
      <c r="C13" s="18" t="s">
        <v>452</v>
      </c>
      <c r="D13" s="18" t="s">
        <v>452</v>
      </c>
      <c r="E13" s="18" t="s">
        <v>452</v>
      </c>
      <c r="F13" s="18" t="s">
        <v>452</v>
      </c>
    </row>
    <row r="14" spans="1:255" x14ac:dyDescent="0.15">
      <c r="A14" s="7" t="s">
        <v>451</v>
      </c>
      <c r="B14" s="5"/>
      <c r="C14" s="5"/>
      <c r="D14" s="5"/>
      <c r="E14" s="5"/>
      <c r="F14" s="5"/>
    </row>
    <row r="15" spans="1:255" x14ac:dyDescent="0.15">
      <c r="A15" s="5" t="s">
        <v>450</v>
      </c>
      <c r="B15" s="8">
        <v>11723.8</v>
      </c>
      <c r="C15" s="8">
        <v>12449.9</v>
      </c>
      <c r="D15" s="8">
        <v>12807.5</v>
      </c>
      <c r="E15" s="8">
        <v>13884.6</v>
      </c>
      <c r="F15" s="8">
        <v>13734.3</v>
      </c>
    </row>
    <row r="16" spans="1:255" x14ac:dyDescent="0.15">
      <c r="A16" s="5" t="s">
        <v>449</v>
      </c>
      <c r="B16" s="8">
        <v>-2069.8000000000002</v>
      </c>
      <c r="C16" s="8">
        <v>-2170.1999999999998</v>
      </c>
      <c r="D16" s="8">
        <v>-2106.5</v>
      </c>
      <c r="E16" s="8">
        <v>-2182.5</v>
      </c>
      <c r="F16" s="8">
        <v>-2107.3000000000002</v>
      </c>
    </row>
    <row r="17" spans="1:6" x14ac:dyDescent="0.15">
      <c r="A17" s="7" t="s">
        <v>448</v>
      </c>
      <c r="B17" s="6">
        <v>9654</v>
      </c>
      <c r="C17" s="6">
        <v>10279.700000000001</v>
      </c>
      <c r="D17" s="6">
        <v>10701</v>
      </c>
      <c r="E17" s="6">
        <v>11702.1</v>
      </c>
      <c r="F17" s="6">
        <v>11627</v>
      </c>
    </row>
    <row r="18" spans="1:6" x14ac:dyDescent="0.15">
      <c r="A18" s="5"/>
      <c r="B18" s="5"/>
      <c r="C18" s="5"/>
      <c r="D18" s="5"/>
      <c r="E18" s="5"/>
      <c r="F18" s="5"/>
    </row>
    <row r="19" spans="1:6" x14ac:dyDescent="0.15">
      <c r="A19" s="7" t="s">
        <v>447</v>
      </c>
      <c r="B19" s="5"/>
      <c r="C19" s="5"/>
      <c r="D19" s="5"/>
      <c r="E19" s="5"/>
      <c r="F19" s="5"/>
    </row>
    <row r="20" spans="1:6" x14ac:dyDescent="0.15">
      <c r="A20" s="5" t="s">
        <v>446</v>
      </c>
      <c r="B20" s="8">
        <v>-5885.7</v>
      </c>
      <c r="C20" s="8">
        <v>-6226.3</v>
      </c>
      <c r="D20" s="8">
        <v>-7045.8</v>
      </c>
      <c r="E20" s="8">
        <v>-7333.3</v>
      </c>
      <c r="F20" s="8">
        <v>-7093.6</v>
      </c>
    </row>
    <row r="21" spans="1:6" x14ac:dyDescent="0.15">
      <c r="A21" s="5" t="s">
        <v>445</v>
      </c>
      <c r="B21" s="8">
        <v>30.3</v>
      </c>
      <c r="C21" s="8">
        <v>46.4</v>
      </c>
      <c r="D21" s="8">
        <v>36.6</v>
      </c>
      <c r="E21" s="8">
        <v>10.199999999999999</v>
      </c>
      <c r="F21" s="8">
        <v>-5</v>
      </c>
    </row>
    <row r="22" spans="1:6" x14ac:dyDescent="0.15">
      <c r="A22" s="5" t="s">
        <v>444</v>
      </c>
      <c r="B22" s="8">
        <v>-2437</v>
      </c>
      <c r="C22" s="8">
        <v>-2554.5</v>
      </c>
      <c r="D22" s="8">
        <v>-2618.8000000000002</v>
      </c>
      <c r="E22" s="8">
        <v>-2779.9</v>
      </c>
      <c r="F22" s="8">
        <v>-2717.5</v>
      </c>
    </row>
    <row r="23" spans="1:6" x14ac:dyDescent="0.15">
      <c r="A23" s="5" t="s">
        <v>443</v>
      </c>
      <c r="B23" s="8">
        <v>-255.9</v>
      </c>
      <c r="C23" s="8">
        <v>-44.5</v>
      </c>
      <c r="D23" s="8">
        <v>-38.6</v>
      </c>
      <c r="E23" s="8">
        <v>-162.69999999999999</v>
      </c>
      <c r="F23" s="8">
        <v>-65.400000000000006</v>
      </c>
    </row>
    <row r="24" spans="1:6" ht="12" x14ac:dyDescent="0.15">
      <c r="A24" s="5" t="s">
        <v>442</v>
      </c>
      <c r="B24" s="8">
        <v>-1484.3</v>
      </c>
      <c r="C24" s="8" t="s">
        <v>4</v>
      </c>
      <c r="D24" s="8">
        <v>-845</v>
      </c>
      <c r="E24" s="8" t="s">
        <v>4</v>
      </c>
      <c r="F24" s="8" t="s">
        <v>4</v>
      </c>
    </row>
    <row r="25" spans="1:6" x14ac:dyDescent="0.15">
      <c r="A25" s="5" t="s">
        <v>441</v>
      </c>
      <c r="B25" s="8">
        <v>-274.60000000000002</v>
      </c>
      <c r="C25" s="8">
        <v>-260.3</v>
      </c>
      <c r="D25" s="8">
        <v>-250.6</v>
      </c>
      <c r="E25" s="8">
        <v>-234</v>
      </c>
      <c r="F25" s="8">
        <v>-282.7</v>
      </c>
    </row>
    <row r="26" spans="1:6" x14ac:dyDescent="0.15">
      <c r="A26" s="5" t="s">
        <v>440</v>
      </c>
      <c r="B26" s="8">
        <v>3.3</v>
      </c>
      <c r="C26" s="8">
        <v>2</v>
      </c>
      <c r="D26" s="8">
        <v>4.3</v>
      </c>
      <c r="E26" s="8">
        <v>25.4</v>
      </c>
      <c r="F26" s="8">
        <v>35.4</v>
      </c>
    </row>
    <row r="27" spans="1:6" ht="12" x14ac:dyDescent="0.15">
      <c r="A27" s="5" t="s">
        <v>439</v>
      </c>
      <c r="B27" s="8" t="s">
        <v>4</v>
      </c>
      <c r="C27" s="8" t="s">
        <v>4</v>
      </c>
      <c r="D27" s="8">
        <v>4.7</v>
      </c>
      <c r="E27" s="8">
        <v>12</v>
      </c>
      <c r="F27" s="8">
        <v>2.7</v>
      </c>
    </row>
    <row r="28" spans="1:6" x14ac:dyDescent="0.15">
      <c r="A28" s="5" t="s">
        <v>438</v>
      </c>
      <c r="B28" s="8">
        <v>6</v>
      </c>
      <c r="C28" s="8">
        <v>-3.5</v>
      </c>
      <c r="D28" s="8">
        <v>-10.3</v>
      </c>
      <c r="E28" s="8">
        <v>12.7</v>
      </c>
      <c r="F28" s="8">
        <v>2.1</v>
      </c>
    </row>
    <row r="29" spans="1:6" x14ac:dyDescent="0.15">
      <c r="A29" s="7" t="s">
        <v>437</v>
      </c>
      <c r="B29" s="6">
        <v>-643.9</v>
      </c>
      <c r="C29" s="6">
        <v>1239</v>
      </c>
      <c r="D29" s="6">
        <v>-62.5</v>
      </c>
      <c r="E29" s="6">
        <v>1252.5</v>
      </c>
      <c r="F29" s="6">
        <v>1503</v>
      </c>
    </row>
    <row r="30" spans="1:6" x14ac:dyDescent="0.15">
      <c r="A30" s="5"/>
      <c r="B30" s="5"/>
      <c r="C30" s="5"/>
      <c r="D30" s="5"/>
      <c r="E30" s="5"/>
      <c r="F30" s="5"/>
    </row>
    <row r="31" spans="1:6" x14ac:dyDescent="0.15">
      <c r="A31" s="7" t="s">
        <v>436</v>
      </c>
      <c r="B31" s="5"/>
      <c r="C31" s="5"/>
      <c r="D31" s="5"/>
      <c r="E31" s="5"/>
      <c r="F31" s="5"/>
    </row>
    <row r="32" spans="1:6" x14ac:dyDescent="0.15">
      <c r="A32" s="5" t="s">
        <v>435</v>
      </c>
      <c r="B32" s="8">
        <v>-301.8</v>
      </c>
      <c r="C32" s="8">
        <v>-230.5</v>
      </c>
      <c r="D32" s="8">
        <v>-124</v>
      </c>
      <c r="E32" s="8">
        <v>-296.10000000000002</v>
      </c>
      <c r="F32" s="8">
        <v>-345.3</v>
      </c>
    </row>
    <row r="33" spans="1:6" x14ac:dyDescent="0.15">
      <c r="A33" s="5" t="s">
        <v>434</v>
      </c>
      <c r="B33" s="8">
        <v>-3.3</v>
      </c>
      <c r="C33" s="8">
        <v>-2.8</v>
      </c>
      <c r="D33" s="8">
        <v>11.2</v>
      </c>
      <c r="E33" s="8">
        <v>-7.5</v>
      </c>
      <c r="F33" s="8">
        <v>-35.299999999999997</v>
      </c>
    </row>
    <row r="34" spans="1:6" x14ac:dyDescent="0.15">
      <c r="A34" s="7" t="s">
        <v>433</v>
      </c>
      <c r="B34" s="6">
        <v>-949</v>
      </c>
      <c r="C34" s="6">
        <v>1005.7</v>
      </c>
      <c r="D34" s="6">
        <v>-175.3</v>
      </c>
      <c r="E34" s="6">
        <v>948.9</v>
      </c>
      <c r="F34" s="6">
        <v>1122.4000000000001</v>
      </c>
    </row>
    <row r="35" spans="1:6" x14ac:dyDescent="0.15">
      <c r="A35" s="5"/>
      <c r="B35" s="5"/>
      <c r="C35" s="5"/>
      <c r="D35" s="5"/>
      <c r="E35" s="5"/>
      <c r="F35" s="5"/>
    </row>
    <row r="36" spans="1:6" x14ac:dyDescent="0.15">
      <c r="A36" s="7" t="s">
        <v>432</v>
      </c>
      <c r="B36" s="5"/>
      <c r="C36" s="5"/>
      <c r="D36" s="5"/>
      <c r="E36" s="5"/>
      <c r="F36" s="5"/>
    </row>
    <row r="37" spans="1:6" x14ac:dyDescent="0.15">
      <c r="A37" s="5" t="s">
        <v>431</v>
      </c>
      <c r="B37" s="14">
        <v>3768.3</v>
      </c>
      <c r="C37" s="14">
        <v>4053.4</v>
      </c>
      <c r="D37" s="14">
        <v>3655.2</v>
      </c>
      <c r="E37" s="14">
        <v>4368.8</v>
      </c>
      <c r="F37" s="14">
        <v>4533.3999999999996</v>
      </c>
    </row>
    <row r="38" spans="1:6" x14ac:dyDescent="0.15">
      <c r="A38" s="5" t="s">
        <v>430</v>
      </c>
      <c r="B38" s="14">
        <v>-408.9</v>
      </c>
      <c r="C38" s="14">
        <v>1454.4</v>
      </c>
      <c r="D38" s="14">
        <v>157.5</v>
      </c>
      <c r="E38" s="14">
        <v>1438.2</v>
      </c>
      <c r="F38" s="14">
        <v>1753.2</v>
      </c>
    </row>
    <row r="39" spans="1:6" x14ac:dyDescent="0.15">
      <c r="A39" s="5" t="s">
        <v>429</v>
      </c>
      <c r="B39" s="14">
        <v>-4.38</v>
      </c>
      <c r="C39" s="14">
        <v>4.63</v>
      </c>
      <c r="D39" s="14">
        <v>-0.81</v>
      </c>
      <c r="E39" s="14">
        <v>4.3899999999999997</v>
      </c>
      <c r="F39" s="14">
        <v>5.38</v>
      </c>
    </row>
    <row r="40" spans="1:6" x14ac:dyDescent="0.15">
      <c r="A40" s="5" t="s">
        <v>428</v>
      </c>
      <c r="B40" s="14">
        <v>-4.38</v>
      </c>
      <c r="C40" s="14">
        <v>4.62</v>
      </c>
      <c r="D40" s="14">
        <v>-0.81</v>
      </c>
      <c r="E40" s="14">
        <v>4.37</v>
      </c>
      <c r="F40" s="14">
        <v>5.35</v>
      </c>
    </row>
    <row r="41" spans="1:6" x14ac:dyDescent="0.15">
      <c r="A41" s="3"/>
      <c r="B41" s="3"/>
      <c r="C41" s="3"/>
      <c r="D41" s="3"/>
      <c r="E41" s="3"/>
      <c r="F41" s="3"/>
    </row>
    <row r="42" spans="1:6" x14ac:dyDescent="0.15">
      <c r="A42" s="1" t="s">
        <v>1</v>
      </c>
    </row>
    <row r="43" spans="1:6" x14ac:dyDescent="0.15">
      <c r="A43" s="2" t="s">
        <v>0</v>
      </c>
    </row>
  </sheetData>
  <pageMargins left="0.2" right="0.2" top="0.5" bottom="0.5" header="0.5" footer="0.5"/>
  <pageSetup fitToWidth="0" fitToHeight="0" orientation="landscape" horizontalDpi="0" verticalDpi="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2FA9B-A044-2041-8C96-8A1F8291B0E4}">
  <sheetPr>
    <outlinePr summaryBelow="0" summaryRight="0"/>
    <pageSetUpPr autoPageBreaks="0"/>
  </sheetPr>
  <dimension ref="A1:IU55"/>
  <sheetViews>
    <sheetView zoomScale="170" workbookViewId="0">
      <selection activeCell="H13" sqref="H13"/>
    </sheetView>
  </sheetViews>
  <sheetFormatPr baseColWidth="10" defaultRowHeight="11" x14ac:dyDescent="0.15"/>
  <cols>
    <col min="1" max="1" width="45.83203125" style="1" customWidth="1"/>
    <col min="2" max="6" width="14.83203125" style="1" customWidth="1"/>
    <col min="7" max="256" width="8.83203125" style="1" customWidth="1"/>
    <col min="257" max="16384" width="10.83203125" style="1"/>
  </cols>
  <sheetData>
    <row r="1" spans="1:255" ht="17" x14ac:dyDescent="0.2">
      <c r="A1" s="23" t="s">
        <v>188</v>
      </c>
    </row>
    <row r="3" spans="1:255" x14ac:dyDescent="0.15">
      <c r="A3" s="5"/>
      <c r="B3" s="20" t="s">
        <v>116</v>
      </c>
      <c r="C3" s="1" t="s">
        <v>454</v>
      </c>
      <c r="D3" s="5" t="s">
        <v>98</v>
      </c>
      <c r="E3" s="20" t="s">
        <v>114</v>
      </c>
      <c r="F3" s="1" t="s">
        <v>113</v>
      </c>
    </row>
    <row r="4" spans="1:255" x14ac:dyDescent="0.15">
      <c r="A4" s="5"/>
      <c r="B4" s="20" t="s">
        <v>112</v>
      </c>
      <c r="C4" s="1" t="s">
        <v>111</v>
      </c>
      <c r="D4" s="5" t="s">
        <v>98</v>
      </c>
      <c r="E4" s="20" t="s">
        <v>110</v>
      </c>
      <c r="F4" s="1" t="s">
        <v>109</v>
      </c>
    </row>
    <row r="5" spans="1:255" x14ac:dyDescent="0.15">
      <c r="A5" s="5"/>
      <c r="B5" s="20" t="s">
        <v>108</v>
      </c>
      <c r="C5" s="1" t="s">
        <v>107</v>
      </c>
      <c r="D5" s="5" t="s">
        <v>98</v>
      </c>
      <c r="E5" s="20" t="s">
        <v>106</v>
      </c>
      <c r="F5" s="1" t="s">
        <v>105</v>
      </c>
    </row>
    <row r="6" spans="1:255" x14ac:dyDescent="0.15">
      <c r="A6" s="5"/>
      <c r="B6" s="20" t="s">
        <v>104</v>
      </c>
      <c r="C6" s="1" t="s">
        <v>103</v>
      </c>
      <c r="D6" s="5" t="s">
        <v>98</v>
      </c>
      <c r="E6" s="20" t="s">
        <v>102</v>
      </c>
      <c r="F6" s="21" t="s">
        <v>101</v>
      </c>
    </row>
    <row r="7" spans="1:255" x14ac:dyDescent="0.15">
      <c r="A7" s="5"/>
      <c r="B7" s="20" t="s">
        <v>100</v>
      </c>
      <c r="C7" s="1" t="s">
        <v>99</v>
      </c>
      <c r="D7" s="5" t="s">
        <v>98</v>
      </c>
      <c r="E7" s="19"/>
      <c r="F7" s="19"/>
    </row>
    <row r="10" spans="1:255" x14ac:dyDescent="0.15">
      <c r="A10" s="18" t="s">
        <v>187</v>
      </c>
      <c r="B10" s="18"/>
      <c r="C10" s="18"/>
      <c r="D10" s="18"/>
      <c r="E10" s="18"/>
      <c r="F10" s="18"/>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row>
    <row r="11" spans="1:255" ht="24" x14ac:dyDescent="0.15">
      <c r="A11" s="27" t="s">
        <v>186</v>
      </c>
      <c r="B11" s="28">
        <v>2020</v>
      </c>
      <c r="C11" s="28">
        <f>B11+1</f>
        <v>2021</v>
      </c>
      <c r="D11" s="28">
        <f t="shared" ref="D11:F11" si="0">C11+1</f>
        <v>2022</v>
      </c>
      <c r="E11" s="28">
        <f t="shared" si="0"/>
        <v>2023</v>
      </c>
      <c r="F11" s="28">
        <f t="shared" si="0"/>
        <v>2024</v>
      </c>
    </row>
    <row r="12" spans="1:255" ht="12" x14ac:dyDescent="0.15">
      <c r="A12" s="29" t="s">
        <v>89</v>
      </c>
      <c r="B12" s="30" t="s">
        <v>88</v>
      </c>
      <c r="C12" s="30" t="s">
        <v>88</v>
      </c>
      <c r="D12" s="30" t="s">
        <v>88</v>
      </c>
      <c r="E12" s="30" t="s">
        <v>88</v>
      </c>
      <c r="F12" s="30" t="s">
        <v>88</v>
      </c>
    </row>
    <row r="13" spans="1:255" x14ac:dyDescent="0.15">
      <c r="A13" s="18" t="s">
        <v>453</v>
      </c>
      <c r="B13" s="18" t="s">
        <v>452</v>
      </c>
      <c r="C13" s="18" t="s">
        <v>452</v>
      </c>
      <c r="D13" s="18" t="s">
        <v>452</v>
      </c>
      <c r="E13" s="18" t="s">
        <v>452</v>
      </c>
      <c r="F13" s="18" t="s">
        <v>452</v>
      </c>
    </row>
    <row r="14" spans="1:255" x14ac:dyDescent="0.15">
      <c r="A14" s="7" t="s">
        <v>483</v>
      </c>
      <c r="B14" s="5"/>
      <c r="C14" s="5"/>
      <c r="D14" s="5"/>
      <c r="E14" s="5"/>
      <c r="F14" s="5"/>
    </row>
    <row r="15" spans="1:255" x14ac:dyDescent="0.15">
      <c r="A15" s="5" t="s">
        <v>482</v>
      </c>
      <c r="B15" s="8">
        <v>770.1</v>
      </c>
      <c r="C15" s="8">
        <v>637.4</v>
      </c>
      <c r="D15" s="8">
        <v>600</v>
      </c>
      <c r="E15" s="8">
        <v>868.9</v>
      </c>
      <c r="F15" s="8">
        <v>969.3</v>
      </c>
    </row>
    <row r="16" spans="1:255" x14ac:dyDescent="0.15">
      <c r="A16" s="5" t="s">
        <v>481</v>
      </c>
      <c r="B16" s="8">
        <v>549.6</v>
      </c>
      <c r="C16" s="8">
        <v>678.9</v>
      </c>
      <c r="D16" s="8">
        <v>739.8</v>
      </c>
      <c r="E16" s="8">
        <v>757.8</v>
      </c>
      <c r="F16" s="8">
        <v>693.1</v>
      </c>
    </row>
    <row r="17" spans="1:6" x14ac:dyDescent="0.15">
      <c r="A17" s="5" t="s">
        <v>480</v>
      </c>
      <c r="B17" s="8">
        <v>129.1</v>
      </c>
      <c r="C17" s="8">
        <v>200.5</v>
      </c>
      <c r="D17" s="8">
        <v>126.4</v>
      </c>
      <c r="E17" s="8">
        <v>121.6</v>
      </c>
      <c r="F17" s="8">
        <v>149.80000000000001</v>
      </c>
    </row>
    <row r="18" spans="1:6" ht="12" x14ac:dyDescent="0.15">
      <c r="A18" s="5" t="s">
        <v>484</v>
      </c>
      <c r="B18" s="8">
        <v>8.4</v>
      </c>
      <c r="C18" s="8" t="s">
        <v>4</v>
      </c>
      <c r="D18" s="8" t="s">
        <v>4</v>
      </c>
      <c r="E18" s="8" t="s">
        <v>4</v>
      </c>
      <c r="F18" s="8" t="s">
        <v>4</v>
      </c>
    </row>
    <row r="19" spans="1:6" x14ac:dyDescent="0.15">
      <c r="A19" s="5" t="s">
        <v>479</v>
      </c>
      <c r="B19" s="8">
        <v>664.3</v>
      </c>
      <c r="C19" s="8">
        <v>804.7</v>
      </c>
      <c r="D19" s="8">
        <v>792.9</v>
      </c>
      <c r="E19" s="8">
        <v>802.3</v>
      </c>
      <c r="F19" s="8">
        <v>727.8</v>
      </c>
    </row>
    <row r="20" spans="1:6" x14ac:dyDescent="0.15">
      <c r="A20" s="5" t="s">
        <v>478</v>
      </c>
      <c r="B20" s="8">
        <v>297.3</v>
      </c>
      <c r="C20" s="8">
        <v>457.2</v>
      </c>
      <c r="D20" s="8">
        <v>378.9</v>
      </c>
      <c r="E20" s="8">
        <v>297.89999999999998</v>
      </c>
      <c r="F20" s="8">
        <v>308.39999999999998</v>
      </c>
    </row>
    <row r="21" spans="1:6" x14ac:dyDescent="0.15">
      <c r="A21" s="7" t="s">
        <v>177</v>
      </c>
      <c r="B21" s="6">
        <v>2418.8000000000002</v>
      </c>
      <c r="C21" s="6">
        <v>2778.7</v>
      </c>
      <c r="D21" s="6">
        <v>2638</v>
      </c>
      <c r="E21" s="6">
        <v>2848.5</v>
      </c>
      <c r="F21" s="6">
        <v>2848.4</v>
      </c>
    </row>
    <row r="22" spans="1:6" x14ac:dyDescent="0.15">
      <c r="A22" s="5"/>
      <c r="B22" s="5"/>
      <c r="C22" s="5"/>
      <c r="D22" s="5"/>
      <c r="E22" s="5"/>
      <c r="F22" s="5"/>
    </row>
    <row r="23" spans="1:6" x14ac:dyDescent="0.15">
      <c r="A23" s="7" t="s">
        <v>477</v>
      </c>
      <c r="B23" s="5"/>
      <c r="C23" s="5"/>
      <c r="D23" s="5"/>
      <c r="E23" s="5"/>
      <c r="F23" s="5"/>
    </row>
    <row r="24" spans="1:6" x14ac:dyDescent="0.15">
      <c r="A24" s="5" t="s">
        <v>476</v>
      </c>
      <c r="B24" s="8">
        <v>4250.3</v>
      </c>
      <c r="C24" s="8">
        <v>4192.3999999999996</v>
      </c>
      <c r="D24" s="8">
        <v>4222.8</v>
      </c>
      <c r="E24" s="8">
        <v>4444.5</v>
      </c>
      <c r="F24" s="8">
        <v>4460.3999999999996</v>
      </c>
    </row>
    <row r="25" spans="1:6" x14ac:dyDescent="0.15">
      <c r="A25" s="5" t="s">
        <v>475</v>
      </c>
      <c r="B25" s="8">
        <v>6151</v>
      </c>
      <c r="C25" s="8">
        <v>6152.6</v>
      </c>
      <c r="D25" s="8">
        <v>5291.9</v>
      </c>
      <c r="E25" s="8">
        <v>5325.3</v>
      </c>
      <c r="F25" s="8">
        <v>5582.3</v>
      </c>
    </row>
    <row r="26" spans="1:6" x14ac:dyDescent="0.15">
      <c r="A26" s="5" t="s">
        <v>474</v>
      </c>
      <c r="B26" s="8">
        <v>13556.1</v>
      </c>
      <c r="C26" s="8">
        <v>13286.8</v>
      </c>
      <c r="D26" s="8">
        <v>12800.1</v>
      </c>
      <c r="E26" s="8">
        <v>12614.6</v>
      </c>
      <c r="F26" s="8">
        <v>12195.2</v>
      </c>
    </row>
    <row r="27" spans="1:6" x14ac:dyDescent="0.15">
      <c r="A27" s="5" t="s">
        <v>473</v>
      </c>
      <c r="B27" s="8">
        <v>954.9</v>
      </c>
      <c r="C27" s="8">
        <v>1208.5</v>
      </c>
      <c r="D27" s="8">
        <v>915.5</v>
      </c>
      <c r="E27" s="8">
        <v>1142.2</v>
      </c>
      <c r="F27" s="8">
        <v>978</v>
      </c>
    </row>
    <row r="28" spans="1:6" x14ac:dyDescent="0.15">
      <c r="A28" s="7" t="s">
        <v>208</v>
      </c>
      <c r="B28" s="6">
        <v>27331.1</v>
      </c>
      <c r="C28" s="6">
        <v>27619</v>
      </c>
      <c r="D28" s="6">
        <v>25868.3</v>
      </c>
      <c r="E28" s="6">
        <v>26375.1</v>
      </c>
      <c r="F28" s="6">
        <v>26064.3</v>
      </c>
    </row>
    <row r="29" spans="1:6" x14ac:dyDescent="0.15">
      <c r="A29" s="5"/>
      <c r="B29" s="5"/>
      <c r="C29" s="5"/>
      <c r="D29" s="5"/>
      <c r="E29" s="5"/>
      <c r="F29" s="5"/>
    </row>
    <row r="30" spans="1:6" x14ac:dyDescent="0.15">
      <c r="A30" s="7" t="s">
        <v>472</v>
      </c>
      <c r="B30" s="5"/>
      <c r="C30" s="5"/>
      <c r="D30" s="5"/>
      <c r="E30" s="5"/>
      <c r="F30" s="5"/>
    </row>
    <row r="31" spans="1:6" x14ac:dyDescent="0.15">
      <c r="A31" s="5" t="s">
        <v>471</v>
      </c>
      <c r="B31" s="8">
        <v>2889.5</v>
      </c>
      <c r="C31" s="8">
        <v>3107.3</v>
      </c>
      <c r="D31" s="8">
        <v>2978.3</v>
      </c>
      <c r="E31" s="8">
        <v>3180.8</v>
      </c>
      <c r="F31" s="8">
        <v>3013</v>
      </c>
    </row>
    <row r="32" spans="1:6" x14ac:dyDescent="0.15">
      <c r="A32" s="5" t="s">
        <v>470</v>
      </c>
      <c r="B32" s="8">
        <v>1020.1</v>
      </c>
      <c r="C32" s="8">
        <v>514.9</v>
      </c>
      <c r="D32" s="8">
        <v>397.1</v>
      </c>
      <c r="E32" s="8">
        <v>911.8</v>
      </c>
      <c r="F32" s="8">
        <v>32.200000000000003</v>
      </c>
    </row>
    <row r="33" spans="1:6" x14ac:dyDescent="0.15">
      <c r="A33" s="7" t="s">
        <v>159</v>
      </c>
      <c r="B33" s="6">
        <v>3909.6</v>
      </c>
      <c r="C33" s="6">
        <v>3622.2</v>
      </c>
      <c r="D33" s="6">
        <v>3375.4</v>
      </c>
      <c r="E33" s="6">
        <v>4092.6</v>
      </c>
      <c r="F33" s="6">
        <v>3045.2</v>
      </c>
    </row>
    <row r="34" spans="1:6" x14ac:dyDescent="0.15">
      <c r="A34" s="5"/>
      <c r="B34" s="5"/>
      <c r="C34" s="5"/>
      <c r="D34" s="5"/>
      <c r="E34" s="5"/>
      <c r="F34" s="5"/>
    </row>
    <row r="35" spans="1:6" x14ac:dyDescent="0.15">
      <c r="A35" s="7" t="s">
        <v>469</v>
      </c>
      <c r="B35" s="5"/>
      <c r="C35" s="5"/>
      <c r="D35" s="5"/>
      <c r="E35" s="5"/>
      <c r="F35" s="5"/>
    </row>
    <row r="36" spans="1:6" x14ac:dyDescent="0.15">
      <c r="A36" s="5" t="s">
        <v>468</v>
      </c>
      <c r="B36" s="8">
        <v>7208.2</v>
      </c>
      <c r="C36" s="8">
        <v>6647.2</v>
      </c>
      <c r="D36" s="8">
        <v>6165.2</v>
      </c>
      <c r="E36" s="8">
        <v>5312.1</v>
      </c>
      <c r="F36" s="8">
        <v>6113.9</v>
      </c>
    </row>
    <row r="37" spans="1:6" x14ac:dyDescent="0.15">
      <c r="A37" s="5" t="s">
        <v>467</v>
      </c>
      <c r="B37" s="8">
        <v>763.2</v>
      </c>
      <c r="C37" s="8">
        <v>654.4</v>
      </c>
      <c r="D37" s="8">
        <v>473.3</v>
      </c>
      <c r="E37" s="8">
        <v>465.8</v>
      </c>
      <c r="F37" s="8">
        <v>416.7</v>
      </c>
    </row>
    <row r="38" spans="1:6" x14ac:dyDescent="0.15">
      <c r="A38" s="5" t="s">
        <v>466</v>
      </c>
      <c r="B38" s="8">
        <v>2381.6</v>
      </c>
      <c r="C38" s="8">
        <v>2704.6</v>
      </c>
      <c r="D38" s="8">
        <v>2646.4</v>
      </c>
      <c r="E38" s="8">
        <v>2697.2</v>
      </c>
      <c r="F38" s="8">
        <v>2733.4</v>
      </c>
    </row>
    <row r="39" spans="1:6" x14ac:dyDescent="0.15">
      <c r="A39" s="5" t="s">
        <v>465</v>
      </c>
      <c r="B39" s="8">
        <v>256.3</v>
      </c>
      <c r="C39" s="8">
        <v>247</v>
      </c>
      <c r="D39" s="8">
        <v>225.5</v>
      </c>
      <c r="E39" s="8">
        <v>211.2</v>
      </c>
      <c r="F39" s="8">
        <v>191.8</v>
      </c>
    </row>
    <row r="40" spans="1:6" ht="12" x14ac:dyDescent="0.15">
      <c r="A40" s="5" t="s">
        <v>464</v>
      </c>
      <c r="B40" s="8" t="s">
        <v>4</v>
      </c>
      <c r="C40" s="8" t="s">
        <v>4</v>
      </c>
      <c r="D40" s="8" t="s">
        <v>4</v>
      </c>
      <c r="E40" s="8">
        <v>27.9</v>
      </c>
      <c r="F40" s="8">
        <v>168.5</v>
      </c>
    </row>
    <row r="41" spans="1:6" x14ac:dyDescent="0.15">
      <c r="A41" s="5" t="s">
        <v>463</v>
      </c>
      <c r="B41" s="8">
        <v>447.2</v>
      </c>
      <c r="C41" s="8">
        <v>326.5</v>
      </c>
      <c r="D41" s="8">
        <v>292.8</v>
      </c>
      <c r="E41" s="8">
        <v>372.3</v>
      </c>
      <c r="F41" s="8">
        <v>302.39999999999998</v>
      </c>
    </row>
    <row r="42" spans="1:6" x14ac:dyDescent="0.15">
      <c r="A42" s="5"/>
      <c r="B42" s="5"/>
      <c r="C42" s="5"/>
      <c r="D42" s="5"/>
      <c r="E42" s="5"/>
      <c r="F42" s="5"/>
    </row>
    <row r="43" spans="1:6" x14ac:dyDescent="0.15">
      <c r="A43" s="7" t="s">
        <v>462</v>
      </c>
      <c r="B43" s="5"/>
      <c r="C43" s="5"/>
      <c r="D43" s="5"/>
      <c r="E43" s="5"/>
      <c r="F43" s="5"/>
    </row>
    <row r="44" spans="1:6" x14ac:dyDescent="0.15">
      <c r="A44" s="5" t="s">
        <v>461</v>
      </c>
      <c r="B44" s="8">
        <v>2.1</v>
      </c>
      <c r="C44" s="8">
        <v>102.2</v>
      </c>
      <c r="D44" s="8">
        <v>2.1</v>
      </c>
      <c r="E44" s="8">
        <v>2.1</v>
      </c>
      <c r="F44" s="8">
        <v>2.1</v>
      </c>
    </row>
    <row r="45" spans="1:6" x14ac:dyDescent="0.15">
      <c r="A45" s="5" t="s">
        <v>461</v>
      </c>
      <c r="B45" s="8">
        <v>102.3</v>
      </c>
      <c r="C45" s="8">
        <v>417.8</v>
      </c>
      <c r="D45" s="8">
        <v>102.2</v>
      </c>
      <c r="E45" s="8">
        <v>100.8</v>
      </c>
      <c r="F45" s="8">
        <v>100.8</v>
      </c>
    </row>
    <row r="46" spans="1:6" x14ac:dyDescent="0.15">
      <c r="A46" s="5" t="s">
        <v>461</v>
      </c>
      <c r="B46" s="8">
        <v>417.8</v>
      </c>
      <c r="C46" s="8">
        <v>2.1</v>
      </c>
      <c r="D46" s="8">
        <v>413.3</v>
      </c>
      <c r="E46" s="8">
        <v>352.3</v>
      </c>
      <c r="F46" s="8">
        <v>271.10000000000002</v>
      </c>
    </row>
    <row r="47" spans="1:6" x14ac:dyDescent="0.15">
      <c r="A47" s="5" t="s">
        <v>460</v>
      </c>
      <c r="B47" s="8">
        <v>6937.8</v>
      </c>
      <c r="C47" s="8">
        <v>6970.9</v>
      </c>
      <c r="D47" s="8">
        <v>7006.4</v>
      </c>
      <c r="E47" s="8">
        <v>7108.4</v>
      </c>
      <c r="F47" s="8">
        <v>7223.6</v>
      </c>
    </row>
    <row r="48" spans="1:6" x14ac:dyDescent="0.15">
      <c r="A48" s="5" t="s">
        <v>459</v>
      </c>
      <c r="B48" s="8">
        <v>-471.4</v>
      </c>
      <c r="C48" s="8">
        <v>-471.4</v>
      </c>
      <c r="D48" s="8">
        <v>-522.9</v>
      </c>
      <c r="E48" s="8">
        <v>-735.6</v>
      </c>
      <c r="F48" s="8">
        <v>-1380.8</v>
      </c>
    </row>
    <row r="49" spans="1:6" x14ac:dyDescent="0.15">
      <c r="A49" s="5" t="s">
        <v>458</v>
      </c>
      <c r="B49" s="8">
        <v>6544.2</v>
      </c>
      <c r="C49" s="8">
        <v>7401.5</v>
      </c>
      <c r="D49" s="8">
        <v>6894.1</v>
      </c>
      <c r="E49" s="8">
        <v>7484.3</v>
      </c>
      <c r="F49" s="8">
        <v>8238</v>
      </c>
    </row>
    <row r="50" spans="1:6" x14ac:dyDescent="0.15">
      <c r="A50" s="5" t="s">
        <v>457</v>
      </c>
      <c r="B50" s="8">
        <v>-1167.8</v>
      </c>
      <c r="C50" s="8">
        <v>-1006</v>
      </c>
      <c r="D50" s="8">
        <v>-1205.5</v>
      </c>
      <c r="E50" s="8">
        <v>-1116.3</v>
      </c>
      <c r="F50" s="8">
        <v>-1362.4</v>
      </c>
    </row>
    <row r="51" spans="1:6" x14ac:dyDescent="0.15">
      <c r="A51" s="7" t="s">
        <v>456</v>
      </c>
      <c r="B51" s="6">
        <v>12365</v>
      </c>
      <c r="C51" s="6">
        <v>13417.1</v>
      </c>
      <c r="D51" s="6">
        <v>12689.7</v>
      </c>
      <c r="E51" s="6">
        <v>13196</v>
      </c>
      <c r="F51" s="6">
        <v>13092.4</v>
      </c>
    </row>
    <row r="52" spans="1:6" x14ac:dyDescent="0.15">
      <c r="A52" s="7" t="s">
        <v>455</v>
      </c>
      <c r="B52" s="6">
        <v>27331.1</v>
      </c>
      <c r="C52" s="6">
        <v>27619</v>
      </c>
      <c r="D52" s="6">
        <v>25868.3</v>
      </c>
      <c r="E52" s="6">
        <v>26375.1</v>
      </c>
      <c r="F52" s="6">
        <v>26064.3</v>
      </c>
    </row>
    <row r="53" spans="1:6" x14ac:dyDescent="0.15">
      <c r="A53" s="3"/>
      <c r="B53" s="3"/>
      <c r="C53" s="3"/>
      <c r="D53" s="3"/>
      <c r="E53" s="3"/>
      <c r="F53" s="3"/>
    </row>
    <row r="54" spans="1:6" x14ac:dyDescent="0.15">
      <c r="A54" s="1" t="s">
        <v>119</v>
      </c>
    </row>
    <row r="55" spans="1:6" x14ac:dyDescent="0.15">
      <c r="A55" s="2" t="s">
        <v>0</v>
      </c>
    </row>
  </sheetData>
  <pageMargins left="0.2" right="0.2" top="0.5" bottom="0.5" header="0.5" footer="0.5"/>
  <pageSetup fitToWidth="0" fitToHeight="0" orientation="landscape" horizontalDpi="0" verticalDpi="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01921-BB4C-7543-98DC-2EA20E871C60}">
  <sheetPr codeName="Sheet4">
    <outlinePr summaryBelow="0" summaryRight="0"/>
    <pageSetUpPr autoPageBreaks="0"/>
  </sheetPr>
  <dimension ref="A1:IX98"/>
  <sheetViews>
    <sheetView zoomScale="85" workbookViewId="0">
      <selection activeCell="N1" sqref="N1:N1048576"/>
    </sheetView>
  </sheetViews>
  <sheetFormatPr baseColWidth="10" defaultColWidth="10.83203125" defaultRowHeight="11" x14ac:dyDescent="0.15"/>
  <cols>
    <col min="1" max="1" width="45.83203125" style="1" customWidth="1"/>
    <col min="2" max="2" width="14.83203125" style="1" customWidth="1"/>
    <col min="3" max="3" width="8.33203125" style="1" customWidth="1"/>
    <col min="4" max="4" width="14.83203125" style="1" customWidth="1"/>
    <col min="5" max="5" width="8.33203125" style="1" customWidth="1"/>
    <col min="6" max="6" width="14.83203125" style="1" customWidth="1"/>
    <col min="7" max="7" width="8.33203125" style="1" customWidth="1"/>
    <col min="8" max="8" width="14.83203125" style="1" customWidth="1"/>
    <col min="9" max="9" width="8.33203125" style="1" customWidth="1"/>
    <col min="10" max="10" width="14.83203125" style="1" customWidth="1"/>
    <col min="11" max="11" width="8.33203125" style="1" customWidth="1"/>
    <col min="12" max="12" width="14.83203125" style="1" customWidth="1"/>
    <col min="13" max="13" width="8.33203125" style="1" customWidth="1"/>
    <col min="14" max="14" width="48.5" style="1" customWidth="1"/>
    <col min="15" max="258" width="8.83203125" style="1" customWidth="1"/>
    <col min="259" max="16384" width="10.83203125" style="1"/>
  </cols>
  <sheetData>
    <row r="1" spans="1:258" ht="17" x14ac:dyDescent="0.2">
      <c r="A1" s="23" t="s">
        <v>190</v>
      </c>
    </row>
    <row r="3" spans="1:258" ht="12" x14ac:dyDescent="0.15">
      <c r="A3" s="22" t="s">
        <v>117</v>
      </c>
      <c r="B3" s="20" t="s">
        <v>116</v>
      </c>
      <c r="C3" s="20"/>
      <c r="D3" s="1" t="s">
        <v>115</v>
      </c>
      <c r="F3" s="5" t="s">
        <v>98</v>
      </c>
      <c r="G3" s="5"/>
      <c r="H3" s="20" t="s">
        <v>114</v>
      </c>
      <c r="I3" s="20"/>
      <c r="J3" s="1" t="s">
        <v>113</v>
      </c>
    </row>
    <row r="4" spans="1:258" x14ac:dyDescent="0.15">
      <c r="A4" s="5"/>
      <c r="B4" s="20" t="s">
        <v>112</v>
      </c>
      <c r="C4" s="20"/>
      <c r="D4" s="1" t="s">
        <v>111</v>
      </c>
      <c r="F4" s="5" t="s">
        <v>98</v>
      </c>
      <c r="G4" s="5"/>
      <c r="H4" s="20" t="s">
        <v>110</v>
      </c>
      <c r="I4" s="20"/>
      <c r="J4" s="1" t="s">
        <v>109</v>
      </c>
    </row>
    <row r="5" spans="1:258" x14ac:dyDescent="0.15">
      <c r="A5" s="5"/>
      <c r="B5" s="20" t="s">
        <v>108</v>
      </c>
      <c r="C5" s="20"/>
      <c r="D5" s="1" t="s">
        <v>107</v>
      </c>
      <c r="F5" s="5" t="s">
        <v>98</v>
      </c>
      <c r="G5" s="5"/>
      <c r="H5" s="20" t="s">
        <v>106</v>
      </c>
      <c r="I5" s="20"/>
      <c r="J5" s="1" t="s">
        <v>105</v>
      </c>
    </row>
    <row r="6" spans="1:258" x14ac:dyDescent="0.15">
      <c r="A6" s="5"/>
      <c r="B6" s="20" t="s">
        <v>104</v>
      </c>
      <c r="C6" s="20"/>
      <c r="D6" s="1" t="s">
        <v>103</v>
      </c>
      <c r="F6" s="5" t="s">
        <v>98</v>
      </c>
      <c r="G6" s="5"/>
      <c r="H6" s="20" t="s">
        <v>102</v>
      </c>
      <c r="I6" s="20"/>
      <c r="J6" s="21" t="s">
        <v>101</v>
      </c>
      <c r="K6" s="21"/>
    </row>
    <row r="7" spans="1:258" x14ac:dyDescent="0.15">
      <c r="A7" s="5"/>
      <c r="B7" s="20" t="s">
        <v>100</v>
      </c>
      <c r="C7" s="20"/>
      <c r="D7" s="1" t="s">
        <v>99</v>
      </c>
      <c r="F7" s="5" t="s">
        <v>98</v>
      </c>
      <c r="G7" s="5"/>
      <c r="H7" s="19"/>
      <c r="I7" s="19"/>
      <c r="J7" s="19"/>
      <c r="K7" s="19"/>
    </row>
    <row r="10" spans="1:258" x14ac:dyDescent="0.15">
      <c r="A10" s="18" t="s">
        <v>97</v>
      </c>
      <c r="B10" s="18"/>
      <c r="C10" s="18"/>
      <c r="D10" s="18"/>
      <c r="E10" s="18"/>
      <c r="F10" s="18"/>
      <c r="G10" s="18"/>
      <c r="H10" s="18"/>
      <c r="I10" s="18"/>
      <c r="J10" s="18"/>
      <c r="K10" s="18"/>
      <c r="L10" s="18"/>
      <c r="M10" s="18"/>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c r="IV10" s="17"/>
      <c r="IW10" s="17"/>
      <c r="IX10" s="17"/>
    </row>
    <row r="11" spans="1:258" ht="36" x14ac:dyDescent="0.15">
      <c r="A11" s="27" t="s">
        <v>96</v>
      </c>
      <c r="B11" s="28" t="s">
        <v>95</v>
      </c>
      <c r="C11" s="28"/>
      <c r="D11" s="28" t="s">
        <v>94</v>
      </c>
      <c r="E11" s="28"/>
      <c r="F11" s="28" t="s">
        <v>93</v>
      </c>
      <c r="G11" s="28"/>
      <c r="H11" s="28" t="s">
        <v>92</v>
      </c>
      <c r="I11" s="28"/>
      <c r="J11" s="28" t="s">
        <v>91</v>
      </c>
      <c r="K11" s="28"/>
      <c r="L11" s="28" t="s">
        <v>90</v>
      </c>
      <c r="M11" s="28"/>
      <c r="N11" s="342" t="s">
        <v>636</v>
      </c>
    </row>
    <row r="12" spans="1:258" ht="12" x14ac:dyDescent="0.15">
      <c r="A12" s="29" t="s">
        <v>89</v>
      </c>
      <c r="B12" s="30" t="s">
        <v>88</v>
      </c>
      <c r="C12" s="30"/>
      <c r="D12" s="30" t="s">
        <v>88</v>
      </c>
      <c r="E12" s="30"/>
      <c r="F12" s="30" t="s">
        <v>88</v>
      </c>
      <c r="G12" s="30"/>
      <c r="H12" s="30" t="s">
        <v>88</v>
      </c>
      <c r="I12" s="30"/>
      <c r="J12" s="30" t="s">
        <v>88</v>
      </c>
      <c r="K12" s="30"/>
      <c r="L12" s="30" t="s">
        <v>88</v>
      </c>
      <c r="M12" s="30"/>
      <c r="N12" s="343"/>
    </row>
    <row r="13" spans="1:258" ht="35" customHeight="1" x14ac:dyDescent="0.15">
      <c r="A13" s="5" t="s">
        <v>87</v>
      </c>
      <c r="B13" s="8">
        <v>10579.4</v>
      </c>
      <c r="C13" s="32">
        <f>IFERROR(B13/$B$13,"-")</f>
        <v>1</v>
      </c>
      <c r="D13" s="8">
        <v>9654</v>
      </c>
      <c r="E13" s="32">
        <f>IFERROR(D13/$D$13,"")</f>
        <v>1</v>
      </c>
      <c r="F13" s="8">
        <v>10279.700000000001</v>
      </c>
      <c r="G13" s="32">
        <f>IFERROR(F13/$F$13,"")</f>
        <v>1</v>
      </c>
      <c r="H13" s="8">
        <v>10701</v>
      </c>
      <c r="I13" s="32">
        <f>IFERROR(H13/$H$13,"")</f>
        <v>1</v>
      </c>
      <c r="J13" s="8">
        <v>11702.1</v>
      </c>
      <c r="K13" s="32">
        <f>IFERROR(J13/$J$13,"")</f>
        <v>1</v>
      </c>
      <c r="L13" s="8">
        <v>11627</v>
      </c>
      <c r="M13" s="32">
        <f>IFERROR(L13/$L$13,"")</f>
        <v>1</v>
      </c>
      <c r="N13" s="344" t="s">
        <v>637</v>
      </c>
    </row>
    <row r="14" spans="1:258" ht="12" x14ac:dyDescent="0.15">
      <c r="A14" s="5" t="s">
        <v>86</v>
      </c>
      <c r="B14" s="8" t="s">
        <v>4</v>
      </c>
      <c r="C14" s="32" t="str">
        <f t="shared" ref="C14:C61" si="0">IFERROR(B14/$B$13,"-")</f>
        <v>-</v>
      </c>
      <c r="D14" s="8" t="s">
        <v>4</v>
      </c>
      <c r="E14" s="32" t="str">
        <f t="shared" ref="E14:E61" si="1">IFERROR(D14/$D$13,"")</f>
        <v/>
      </c>
      <c r="F14" s="8" t="s">
        <v>4</v>
      </c>
      <c r="G14" s="32" t="str">
        <f t="shared" ref="G14:G61" si="2">IFERROR(F14/$F$13,"")</f>
        <v/>
      </c>
      <c r="H14" s="8" t="s">
        <v>4</v>
      </c>
      <c r="I14" s="32" t="str">
        <f t="shared" ref="I14:I61" si="3">IFERROR(H14/$H$13,"")</f>
        <v/>
      </c>
      <c r="J14" s="8" t="s">
        <v>4</v>
      </c>
      <c r="K14" s="32" t="str">
        <f t="shared" ref="K14:K61" si="4">IFERROR(J14/$J$13,"")</f>
        <v/>
      </c>
      <c r="L14" s="8" t="s">
        <v>4</v>
      </c>
      <c r="M14" s="32" t="str">
        <f t="shared" ref="M14:M61" si="5">IFERROR(L14/$L$13,"")</f>
        <v/>
      </c>
    </row>
    <row r="15" spans="1:258" x14ac:dyDescent="0.15">
      <c r="A15" s="7" t="s">
        <v>85</v>
      </c>
      <c r="B15" s="16">
        <v>10579.4</v>
      </c>
      <c r="C15" s="32">
        <f t="shared" si="0"/>
        <v>1</v>
      </c>
      <c r="D15" s="16">
        <v>9654</v>
      </c>
      <c r="E15" s="32">
        <f t="shared" si="1"/>
        <v>1</v>
      </c>
      <c r="F15" s="16">
        <v>10279.700000000001</v>
      </c>
      <c r="G15" s="32">
        <f t="shared" si="2"/>
        <v>1</v>
      </c>
      <c r="H15" s="16">
        <v>10701</v>
      </c>
      <c r="I15" s="32">
        <f t="shared" si="3"/>
        <v>1</v>
      </c>
      <c r="J15" s="16">
        <v>11702.1</v>
      </c>
      <c r="K15" s="32">
        <f t="shared" si="4"/>
        <v>1</v>
      </c>
      <c r="L15" s="16">
        <v>11627</v>
      </c>
      <c r="M15" s="32">
        <f t="shared" si="5"/>
        <v>1</v>
      </c>
    </row>
    <row r="16" spans="1:258" ht="36" x14ac:dyDescent="0.15">
      <c r="A16" s="5" t="s">
        <v>84</v>
      </c>
      <c r="B16" s="8">
        <v>6378.2</v>
      </c>
      <c r="C16" s="32">
        <f t="shared" si="0"/>
        <v>0.60288863262566872</v>
      </c>
      <c r="D16" s="8">
        <v>5858.1</v>
      </c>
      <c r="E16" s="32">
        <f t="shared" si="1"/>
        <v>0.60680546923555012</v>
      </c>
      <c r="F16" s="8">
        <v>6226.3</v>
      </c>
      <c r="G16" s="32">
        <f t="shared" si="2"/>
        <v>0.60568888197126369</v>
      </c>
      <c r="H16" s="8">
        <v>7045.8</v>
      </c>
      <c r="I16" s="32">
        <f t="shared" si="3"/>
        <v>0.65842444631342867</v>
      </c>
      <c r="J16" s="8">
        <v>7333.3</v>
      </c>
      <c r="K16" s="32">
        <f t="shared" si="4"/>
        <v>0.6266652993907077</v>
      </c>
      <c r="L16" s="8">
        <v>7093.6</v>
      </c>
      <c r="M16" s="32">
        <f t="shared" si="5"/>
        <v>0.61009718758063136</v>
      </c>
      <c r="N16" s="344" t="s">
        <v>638</v>
      </c>
    </row>
    <row r="17" spans="1:14" x14ac:dyDescent="0.15">
      <c r="A17" s="7" t="s">
        <v>83</v>
      </c>
      <c r="B17" s="16">
        <v>4201.2</v>
      </c>
      <c r="C17" s="32">
        <f t="shared" si="0"/>
        <v>0.39711136737433123</v>
      </c>
      <c r="D17" s="16">
        <v>3795.9</v>
      </c>
      <c r="E17" s="32">
        <f t="shared" si="1"/>
        <v>0.39319453076444999</v>
      </c>
      <c r="F17" s="16">
        <v>4053.4</v>
      </c>
      <c r="G17" s="32">
        <f t="shared" si="2"/>
        <v>0.39431111802873625</v>
      </c>
      <c r="H17" s="16">
        <v>3655.2</v>
      </c>
      <c r="I17" s="32">
        <f t="shared" si="3"/>
        <v>0.34157555368657133</v>
      </c>
      <c r="J17" s="16">
        <v>4368.8</v>
      </c>
      <c r="K17" s="32">
        <f t="shared" si="4"/>
        <v>0.37333470060929236</v>
      </c>
      <c r="L17" s="16">
        <v>4533.3999999999996</v>
      </c>
      <c r="M17" s="32">
        <f t="shared" si="5"/>
        <v>0.38990281241936869</v>
      </c>
    </row>
    <row r="18" spans="1:14" x14ac:dyDescent="0.15">
      <c r="A18" s="5" t="s">
        <v>82</v>
      </c>
      <c r="B18" s="8">
        <v>2478.9</v>
      </c>
      <c r="C18" s="32">
        <f t="shared" si="0"/>
        <v>0.23431385522808479</v>
      </c>
      <c r="D18" s="8">
        <v>2186.6999999999998</v>
      </c>
      <c r="E18" s="32">
        <f t="shared" si="1"/>
        <v>0.22650714729645741</v>
      </c>
      <c r="F18" s="8">
        <v>2290.1</v>
      </c>
      <c r="G18" s="32">
        <f t="shared" si="2"/>
        <v>0.22277887486988918</v>
      </c>
      <c r="H18" s="8">
        <v>2318.1</v>
      </c>
      <c r="I18" s="32">
        <f t="shared" si="3"/>
        <v>0.21662461452200729</v>
      </c>
      <c r="J18" s="8">
        <v>2562.4</v>
      </c>
      <c r="K18" s="32">
        <f t="shared" si="4"/>
        <v>0.21896924483639688</v>
      </c>
      <c r="L18" s="8">
        <v>2516.1</v>
      </c>
      <c r="M18" s="32">
        <f t="shared" si="5"/>
        <v>0.21640147931538659</v>
      </c>
    </row>
    <row r="19" spans="1:14" ht="12" x14ac:dyDescent="0.15">
      <c r="A19" s="5" t="s">
        <v>81</v>
      </c>
      <c r="B19" s="8" t="s">
        <v>4</v>
      </c>
      <c r="C19" s="32" t="str">
        <f t="shared" si="0"/>
        <v>-</v>
      </c>
      <c r="D19" s="8" t="s">
        <v>4</v>
      </c>
      <c r="E19" s="32" t="str">
        <f t="shared" si="1"/>
        <v/>
      </c>
      <c r="F19" s="8" t="s">
        <v>4</v>
      </c>
      <c r="G19" s="32" t="str">
        <f t="shared" si="2"/>
        <v/>
      </c>
      <c r="H19" s="8" t="s">
        <v>4</v>
      </c>
      <c r="I19" s="32" t="str">
        <f t="shared" si="3"/>
        <v/>
      </c>
      <c r="J19" s="8" t="s">
        <v>4</v>
      </c>
      <c r="K19" s="32" t="str">
        <f t="shared" si="4"/>
        <v/>
      </c>
      <c r="L19" s="8" t="s">
        <v>4</v>
      </c>
      <c r="M19" s="32" t="str">
        <f t="shared" si="5"/>
        <v/>
      </c>
    </row>
    <row r="20" spans="1:14" ht="12" x14ac:dyDescent="0.15">
      <c r="A20" s="5" t="s">
        <v>80</v>
      </c>
      <c r="B20" s="8" t="s">
        <v>4</v>
      </c>
      <c r="C20" s="32" t="str">
        <f t="shared" si="0"/>
        <v>-</v>
      </c>
      <c r="D20" s="8" t="s">
        <v>4</v>
      </c>
      <c r="E20" s="32" t="str">
        <f t="shared" si="1"/>
        <v/>
      </c>
      <c r="F20" s="8" t="s">
        <v>4</v>
      </c>
      <c r="G20" s="32" t="str">
        <f t="shared" si="2"/>
        <v/>
      </c>
      <c r="H20" s="8" t="s">
        <v>4</v>
      </c>
      <c r="I20" s="32" t="str">
        <f t="shared" si="3"/>
        <v/>
      </c>
      <c r="J20" s="8" t="s">
        <v>4</v>
      </c>
      <c r="K20" s="32" t="str">
        <f t="shared" si="4"/>
        <v/>
      </c>
      <c r="L20" s="8" t="s">
        <v>4</v>
      </c>
      <c r="M20" s="32" t="str">
        <f t="shared" si="5"/>
        <v/>
      </c>
    </row>
    <row r="21" spans="1:14" x14ac:dyDescent="0.15">
      <c r="A21" s="5" t="s">
        <v>79</v>
      </c>
      <c r="B21" s="8">
        <v>221.2</v>
      </c>
      <c r="C21" s="32">
        <f t="shared" si="0"/>
        <v>2.0908558141293457E-2</v>
      </c>
      <c r="D21" s="8">
        <v>220</v>
      </c>
      <c r="E21" s="32">
        <f t="shared" si="1"/>
        <v>2.2788481458462812E-2</v>
      </c>
      <c r="F21" s="8">
        <v>218</v>
      </c>
      <c r="G21" s="32">
        <f t="shared" si="2"/>
        <v>2.1206844557720556E-2</v>
      </c>
      <c r="H21" s="8">
        <v>208.1</v>
      </c>
      <c r="I21" s="32">
        <f t="shared" si="3"/>
        <v>1.9446780674703297E-2</v>
      </c>
      <c r="J21" s="8">
        <v>207.3</v>
      </c>
      <c r="K21" s="32">
        <f t="shared" si="4"/>
        <v>1.7714769143999796E-2</v>
      </c>
      <c r="L21" s="8">
        <v>206.4</v>
      </c>
      <c r="M21" s="32">
        <f t="shared" si="5"/>
        <v>1.7751784639201858E-2</v>
      </c>
    </row>
    <row r="22" spans="1:14" ht="12" x14ac:dyDescent="0.15">
      <c r="A22" s="5" t="s">
        <v>78</v>
      </c>
      <c r="B22" s="8" t="s">
        <v>4</v>
      </c>
      <c r="C22" s="32" t="str">
        <f t="shared" si="0"/>
        <v>-</v>
      </c>
      <c r="D22" s="8" t="s">
        <v>4</v>
      </c>
      <c r="E22" s="32" t="str">
        <f t="shared" si="1"/>
        <v/>
      </c>
      <c r="F22" s="8" t="s">
        <v>4</v>
      </c>
      <c r="G22" s="32" t="str">
        <f t="shared" si="2"/>
        <v/>
      </c>
      <c r="H22" s="8" t="s">
        <v>4</v>
      </c>
      <c r="I22" s="32" t="str">
        <f t="shared" si="3"/>
        <v/>
      </c>
      <c r="J22" s="8" t="s">
        <v>4</v>
      </c>
      <c r="K22" s="32" t="str">
        <f t="shared" si="4"/>
        <v/>
      </c>
      <c r="L22" s="8" t="s">
        <v>4</v>
      </c>
      <c r="M22" s="32" t="str">
        <f t="shared" si="5"/>
        <v/>
      </c>
    </row>
    <row r="23" spans="1:14" x14ac:dyDescent="0.15">
      <c r="A23" s="7" t="s">
        <v>77</v>
      </c>
      <c r="B23" s="16">
        <v>2700.1</v>
      </c>
      <c r="C23" s="32">
        <f t="shared" si="0"/>
        <v>0.25522241336937823</v>
      </c>
      <c r="D23" s="16">
        <v>2406.6999999999998</v>
      </c>
      <c r="E23" s="32">
        <f t="shared" si="1"/>
        <v>0.24929562875492023</v>
      </c>
      <c r="F23" s="16">
        <v>2508.1</v>
      </c>
      <c r="G23" s="32">
        <f t="shared" si="2"/>
        <v>0.24398571942760972</v>
      </c>
      <c r="H23" s="16">
        <v>2526.1999999999998</v>
      </c>
      <c r="I23" s="32">
        <f t="shared" si="3"/>
        <v>0.23607139519671058</v>
      </c>
      <c r="J23" s="16">
        <v>2769.7</v>
      </c>
      <c r="K23" s="32">
        <f t="shared" si="4"/>
        <v>0.23668401398039665</v>
      </c>
      <c r="L23" s="16">
        <v>2722.5</v>
      </c>
      <c r="M23" s="32">
        <f t="shared" si="5"/>
        <v>0.23415326395458846</v>
      </c>
    </row>
    <row r="24" spans="1:14" x14ac:dyDescent="0.15">
      <c r="A24" s="7" t="s">
        <v>76</v>
      </c>
      <c r="B24" s="6">
        <v>1501.1</v>
      </c>
      <c r="C24" s="32">
        <f t="shared" si="0"/>
        <v>0.14188895400495302</v>
      </c>
      <c r="D24" s="6">
        <v>1389.2</v>
      </c>
      <c r="E24" s="32">
        <f t="shared" si="1"/>
        <v>0.14389890200952973</v>
      </c>
      <c r="F24" s="6">
        <v>1545.3</v>
      </c>
      <c r="G24" s="32">
        <f t="shared" si="2"/>
        <v>0.15032539860112648</v>
      </c>
      <c r="H24" s="6">
        <v>1129</v>
      </c>
      <c r="I24" s="32">
        <f t="shared" si="3"/>
        <v>0.10550415848986076</v>
      </c>
      <c r="J24" s="6">
        <v>1599.1</v>
      </c>
      <c r="K24" s="32">
        <f t="shared" si="4"/>
        <v>0.13665068662889565</v>
      </c>
      <c r="L24" s="6">
        <v>1810.9</v>
      </c>
      <c r="M24" s="32">
        <f t="shared" si="5"/>
        <v>0.15574954846478026</v>
      </c>
    </row>
    <row r="25" spans="1:14" x14ac:dyDescent="0.15">
      <c r="A25" s="5" t="s">
        <v>75</v>
      </c>
      <c r="B25" s="8">
        <v>-280.89999999999998</v>
      </c>
      <c r="C25" s="32">
        <f t="shared" si="0"/>
        <v>-2.6551600279789023E-2</v>
      </c>
      <c r="D25" s="8">
        <v>-274.60000000000002</v>
      </c>
      <c r="E25" s="32">
        <f t="shared" si="1"/>
        <v>-2.8444168220426769E-2</v>
      </c>
      <c r="F25" s="8">
        <v>-260.3</v>
      </c>
      <c r="G25" s="32">
        <f t="shared" si="2"/>
        <v>-2.5321750634746149E-2</v>
      </c>
      <c r="H25" s="8">
        <v>-250.6</v>
      </c>
      <c r="I25" s="32">
        <f t="shared" si="3"/>
        <v>-2.3418372114755628E-2</v>
      </c>
      <c r="J25" s="8">
        <v>-234</v>
      </c>
      <c r="K25" s="32">
        <f t="shared" si="4"/>
        <v>-1.9996410900607584E-2</v>
      </c>
      <c r="L25" s="8">
        <v>-282.7</v>
      </c>
      <c r="M25" s="32">
        <f t="shared" si="5"/>
        <v>-2.4314096499526962E-2</v>
      </c>
    </row>
    <row r="26" spans="1:14" x14ac:dyDescent="0.15">
      <c r="A26" s="5" t="s">
        <v>74</v>
      </c>
      <c r="B26" s="8">
        <v>8.1999999999999993</v>
      </c>
      <c r="C26" s="32">
        <f t="shared" si="0"/>
        <v>7.7509121500274108E-4</v>
      </c>
      <c r="D26" s="8">
        <v>3.3</v>
      </c>
      <c r="E26" s="32">
        <f t="shared" si="1"/>
        <v>3.4182722187694217E-4</v>
      </c>
      <c r="F26" s="8">
        <v>2</v>
      </c>
      <c r="G26" s="32">
        <f t="shared" si="2"/>
        <v>1.9455820695156472E-4</v>
      </c>
      <c r="H26" s="8">
        <v>4.3</v>
      </c>
      <c r="I26" s="32">
        <f t="shared" si="3"/>
        <v>4.0183160452294175E-4</v>
      </c>
      <c r="J26" s="8">
        <v>25.4</v>
      </c>
      <c r="K26" s="32">
        <f t="shared" si="4"/>
        <v>2.1705505849377461E-3</v>
      </c>
      <c r="L26" s="8">
        <v>35.4</v>
      </c>
      <c r="M26" s="32">
        <f t="shared" si="5"/>
        <v>3.0446374817235744E-3</v>
      </c>
    </row>
    <row r="27" spans="1:14" ht="45" customHeight="1" x14ac:dyDescent="0.15">
      <c r="A27" s="7" t="s">
        <v>73</v>
      </c>
      <c r="B27" s="16">
        <v>-272.7</v>
      </c>
      <c r="C27" s="32">
        <f t="shared" si="0"/>
        <v>-2.5776509064786284E-2</v>
      </c>
      <c r="D27" s="16">
        <v>-271.3</v>
      </c>
      <c r="E27" s="32">
        <f t="shared" si="1"/>
        <v>-2.8102340998549826E-2</v>
      </c>
      <c r="F27" s="16">
        <v>-258.3</v>
      </c>
      <c r="G27" s="32">
        <f t="shared" si="2"/>
        <v>-2.5127192427794584E-2</v>
      </c>
      <c r="H27" s="16">
        <v>-246.3</v>
      </c>
      <c r="I27" s="32">
        <f t="shared" si="3"/>
        <v>-2.3016540510232688E-2</v>
      </c>
      <c r="J27" s="16">
        <v>-208.6</v>
      </c>
      <c r="K27" s="32">
        <f t="shared" si="4"/>
        <v>-1.7825860315669836E-2</v>
      </c>
      <c r="L27" s="16">
        <v>-247.3</v>
      </c>
      <c r="M27" s="32">
        <f t="shared" si="5"/>
        <v>-2.1269459017803388E-2</v>
      </c>
      <c r="N27" s="344" t="s">
        <v>639</v>
      </c>
    </row>
    <row r="28" spans="1:14" ht="12" x14ac:dyDescent="0.15">
      <c r="A28" s="5" t="s">
        <v>72</v>
      </c>
      <c r="B28" s="8" t="s">
        <v>4</v>
      </c>
      <c r="C28" s="32" t="str">
        <f t="shared" si="0"/>
        <v>-</v>
      </c>
      <c r="D28" s="8" t="s">
        <v>4</v>
      </c>
      <c r="E28" s="32" t="str">
        <f t="shared" si="1"/>
        <v/>
      </c>
      <c r="F28" s="8" t="s">
        <v>4</v>
      </c>
      <c r="G28" s="32" t="str">
        <f t="shared" si="2"/>
        <v/>
      </c>
      <c r="H28" s="8">
        <v>4.7</v>
      </c>
      <c r="I28" s="32">
        <f t="shared" si="3"/>
        <v>4.3921128866461078E-4</v>
      </c>
      <c r="J28" s="8">
        <v>12</v>
      </c>
      <c r="K28" s="32">
        <f t="shared" si="4"/>
        <v>1.0254569692619273E-3</v>
      </c>
      <c r="L28" s="8">
        <v>2.7</v>
      </c>
      <c r="M28" s="32">
        <f t="shared" si="5"/>
        <v>2.3221811301281503E-4</v>
      </c>
    </row>
    <row r="29" spans="1:14" ht="12" x14ac:dyDescent="0.15">
      <c r="A29" s="5" t="s">
        <v>71</v>
      </c>
      <c r="B29" s="8">
        <v>-2.6</v>
      </c>
      <c r="C29" s="32">
        <f t="shared" si="0"/>
        <v>-2.4576062914721065E-4</v>
      </c>
      <c r="D29" s="8" t="s">
        <v>4</v>
      </c>
      <c r="E29" s="32" t="str">
        <f t="shared" si="1"/>
        <v/>
      </c>
      <c r="F29" s="8">
        <v>0.8</v>
      </c>
      <c r="G29" s="32">
        <f t="shared" si="2"/>
        <v>7.7823282780625891E-5</v>
      </c>
      <c r="H29" s="8">
        <v>-0.4</v>
      </c>
      <c r="I29" s="32">
        <f t="shared" si="3"/>
        <v>-3.7379684141669005E-5</v>
      </c>
      <c r="J29" s="8">
        <v>-3.7</v>
      </c>
      <c r="K29" s="32">
        <f t="shared" si="4"/>
        <v>-3.1618256552242758E-4</v>
      </c>
      <c r="L29" s="8">
        <v>-0.7</v>
      </c>
      <c r="M29" s="32">
        <f t="shared" si="5"/>
        <v>-6.0204695966285363E-5</v>
      </c>
    </row>
    <row r="30" spans="1:14" x14ac:dyDescent="0.15">
      <c r="A30" s="5" t="s">
        <v>70</v>
      </c>
      <c r="B30" s="8">
        <v>4.2</v>
      </c>
      <c r="C30" s="32">
        <f t="shared" si="0"/>
        <v>3.9699793939164797E-4</v>
      </c>
      <c r="D30" s="8">
        <v>8.4</v>
      </c>
      <c r="E30" s="32">
        <f t="shared" si="1"/>
        <v>8.7010565568676197E-4</v>
      </c>
      <c r="F30" s="8">
        <v>-4</v>
      </c>
      <c r="G30" s="32">
        <f t="shared" si="2"/>
        <v>-3.8911641390312944E-4</v>
      </c>
      <c r="H30" s="8">
        <v>-9.9</v>
      </c>
      <c r="I30" s="32">
        <f t="shared" si="3"/>
        <v>-9.2514718250630789E-4</v>
      </c>
      <c r="J30" s="8">
        <v>16.399999999999999</v>
      </c>
      <c r="K30" s="32">
        <f t="shared" si="4"/>
        <v>1.4014578579913005E-3</v>
      </c>
      <c r="L30" s="8">
        <v>2.8</v>
      </c>
      <c r="M30" s="32">
        <f t="shared" si="5"/>
        <v>2.4081878386514145E-4</v>
      </c>
    </row>
    <row r="31" spans="1:14" x14ac:dyDescent="0.15">
      <c r="A31" s="7" t="s">
        <v>69</v>
      </c>
      <c r="B31" s="16">
        <v>1230</v>
      </c>
      <c r="C31" s="32">
        <f t="shared" si="0"/>
        <v>0.11626368225041118</v>
      </c>
      <c r="D31" s="16">
        <v>1126.3</v>
      </c>
      <c r="E31" s="32">
        <f t="shared" si="1"/>
        <v>0.11666666666666667</v>
      </c>
      <c r="F31" s="16">
        <v>1283.8</v>
      </c>
      <c r="G31" s="32">
        <f t="shared" si="2"/>
        <v>0.12488691304220939</v>
      </c>
      <c r="H31" s="16">
        <v>877.1</v>
      </c>
      <c r="I31" s="32">
        <f t="shared" si="3"/>
        <v>8.1964302401644706E-2</v>
      </c>
      <c r="J31" s="16">
        <v>1415.2</v>
      </c>
      <c r="K31" s="32">
        <f t="shared" si="4"/>
        <v>0.12093555857495664</v>
      </c>
      <c r="L31" s="16">
        <v>1568.4</v>
      </c>
      <c r="M31" s="32">
        <f t="shared" si="5"/>
        <v>0.13489292164788855</v>
      </c>
    </row>
    <row r="32" spans="1:14" x14ac:dyDescent="0.15">
      <c r="A32" s="5" t="s">
        <v>68</v>
      </c>
      <c r="B32" s="8">
        <v>-92.4</v>
      </c>
      <c r="C32" s="32">
        <f t="shared" si="0"/>
        <v>-8.7339546666162556E-3</v>
      </c>
      <c r="D32" s="8">
        <v>-187.1</v>
      </c>
      <c r="E32" s="32">
        <f t="shared" si="1"/>
        <v>-1.9380567640356328E-2</v>
      </c>
      <c r="F32" s="8">
        <v>-37.6</v>
      </c>
      <c r="G32" s="32">
        <f t="shared" si="2"/>
        <v>-3.6576942906894169E-3</v>
      </c>
      <c r="H32" s="8">
        <v>-9.1</v>
      </c>
      <c r="I32" s="32">
        <f t="shared" si="3"/>
        <v>-8.5038781422296973E-4</v>
      </c>
      <c r="J32" s="8">
        <v>-4.0999999999999996</v>
      </c>
      <c r="K32" s="32">
        <f t="shared" si="4"/>
        <v>-3.5036446449782511E-4</v>
      </c>
      <c r="L32" s="8">
        <v>-200.4</v>
      </c>
      <c r="M32" s="32">
        <f t="shared" si="5"/>
        <v>-1.7235744388062271E-2</v>
      </c>
    </row>
    <row r="33" spans="1:14" ht="12" x14ac:dyDescent="0.15">
      <c r="A33" s="5" t="s">
        <v>67</v>
      </c>
      <c r="B33" s="8">
        <v>-25</v>
      </c>
      <c r="C33" s="32">
        <f t="shared" si="0"/>
        <v>-2.3630829725693331E-3</v>
      </c>
      <c r="D33" s="8" t="s">
        <v>4</v>
      </c>
      <c r="E33" s="32" t="str">
        <f t="shared" si="1"/>
        <v/>
      </c>
      <c r="F33" s="8" t="s">
        <v>4</v>
      </c>
      <c r="G33" s="32" t="str">
        <f t="shared" si="2"/>
        <v/>
      </c>
      <c r="H33" s="8" t="s">
        <v>4</v>
      </c>
      <c r="I33" s="32" t="str">
        <f t="shared" si="3"/>
        <v/>
      </c>
      <c r="J33" s="8" t="s">
        <v>4</v>
      </c>
      <c r="K33" s="32" t="str">
        <f t="shared" si="4"/>
        <v/>
      </c>
      <c r="L33" s="8" t="s">
        <v>4</v>
      </c>
      <c r="M33" s="32" t="str">
        <f t="shared" si="5"/>
        <v/>
      </c>
    </row>
    <row r="34" spans="1:14" ht="12" x14ac:dyDescent="0.15">
      <c r="A34" s="5" t="s">
        <v>66</v>
      </c>
      <c r="B34" s="8">
        <v>-674.4</v>
      </c>
      <c r="C34" s="32">
        <f t="shared" si="0"/>
        <v>-6.3746526268030318E-2</v>
      </c>
      <c r="D34" s="8">
        <v>-1484.3</v>
      </c>
      <c r="E34" s="32">
        <f t="shared" si="1"/>
        <v>-0.15374974103998343</v>
      </c>
      <c r="F34" s="8" t="s">
        <v>4</v>
      </c>
      <c r="G34" s="32" t="str">
        <f t="shared" si="2"/>
        <v/>
      </c>
      <c r="H34" s="8">
        <v>-845</v>
      </c>
      <c r="I34" s="32">
        <f t="shared" si="3"/>
        <v>-7.8964582749275772E-2</v>
      </c>
      <c r="J34" s="8" t="s">
        <v>4</v>
      </c>
      <c r="K34" s="32" t="str">
        <f t="shared" si="4"/>
        <v/>
      </c>
      <c r="L34" s="8" t="s">
        <v>4</v>
      </c>
      <c r="M34" s="32" t="str">
        <f t="shared" si="5"/>
        <v/>
      </c>
    </row>
    <row r="35" spans="1:14" ht="12" x14ac:dyDescent="0.15">
      <c r="A35" s="5" t="s">
        <v>65</v>
      </c>
      <c r="B35" s="8">
        <v>-16.3</v>
      </c>
      <c r="C35" s="32">
        <f t="shared" si="0"/>
        <v>-1.5407300981152051E-3</v>
      </c>
      <c r="D35" s="8">
        <v>-2.4</v>
      </c>
      <c r="E35" s="32">
        <f t="shared" si="1"/>
        <v>-2.4860161591050341E-4</v>
      </c>
      <c r="F35" s="8">
        <v>-0.3</v>
      </c>
      <c r="G35" s="32">
        <f t="shared" si="2"/>
        <v>-2.9183731042734707E-5</v>
      </c>
      <c r="H35" s="8" t="s">
        <v>4</v>
      </c>
      <c r="I35" s="32" t="str">
        <f t="shared" si="3"/>
        <v/>
      </c>
      <c r="J35" s="8" t="s">
        <v>4</v>
      </c>
      <c r="K35" s="32" t="str">
        <f t="shared" si="4"/>
        <v/>
      </c>
      <c r="L35" s="8">
        <v>77.900000000000006</v>
      </c>
      <c r="M35" s="32">
        <f t="shared" si="5"/>
        <v>6.6999225939623295E-3</v>
      </c>
    </row>
    <row r="36" spans="1:14" ht="12" x14ac:dyDescent="0.15">
      <c r="A36" s="5" t="s">
        <v>64</v>
      </c>
      <c r="B36" s="8" t="s">
        <v>4</v>
      </c>
      <c r="C36" s="32" t="str">
        <f t="shared" si="0"/>
        <v>-</v>
      </c>
      <c r="D36" s="8">
        <v>2.7</v>
      </c>
      <c r="E36" s="32">
        <f t="shared" si="1"/>
        <v>2.7967681789931639E-4</v>
      </c>
      <c r="F36" s="8">
        <v>6.6</v>
      </c>
      <c r="G36" s="32">
        <f t="shared" si="2"/>
        <v>6.4204208294016353E-4</v>
      </c>
      <c r="H36" s="8">
        <v>6.8</v>
      </c>
      <c r="I36" s="32">
        <f t="shared" si="3"/>
        <v>6.35454630408373E-4</v>
      </c>
      <c r="J36" s="8">
        <v>2.2000000000000002</v>
      </c>
      <c r="K36" s="32">
        <f t="shared" si="4"/>
        <v>1.8800044436468669E-4</v>
      </c>
      <c r="L36" s="8">
        <v>57.1</v>
      </c>
      <c r="M36" s="32">
        <f t="shared" si="5"/>
        <v>4.9109830566784213E-3</v>
      </c>
    </row>
    <row r="37" spans="1:14" ht="12" x14ac:dyDescent="0.15">
      <c r="A37" s="5" t="s">
        <v>63</v>
      </c>
      <c r="B37" s="8">
        <v>-9.5</v>
      </c>
      <c r="C37" s="32">
        <f t="shared" si="0"/>
        <v>-8.9797152957634655E-4</v>
      </c>
      <c r="D37" s="8">
        <v>-71.5</v>
      </c>
      <c r="E37" s="32">
        <f t="shared" si="1"/>
        <v>-7.4062564740004144E-3</v>
      </c>
      <c r="F37" s="8">
        <v>-13.5</v>
      </c>
      <c r="G37" s="32">
        <f t="shared" si="2"/>
        <v>-1.3132678969230618E-3</v>
      </c>
      <c r="H37" s="8">
        <v>-36.299999999999997</v>
      </c>
      <c r="I37" s="32">
        <f t="shared" si="3"/>
        <v>-3.3922063358564616E-3</v>
      </c>
      <c r="J37" s="8">
        <v>-160.80000000000001</v>
      </c>
      <c r="K37" s="32">
        <f t="shared" si="4"/>
        <v>-1.3741123388109826E-2</v>
      </c>
      <c r="L37" s="8" t="s">
        <v>4</v>
      </c>
      <c r="M37" s="32" t="str">
        <f t="shared" si="5"/>
        <v/>
      </c>
    </row>
    <row r="38" spans="1:14" ht="12" x14ac:dyDescent="0.15">
      <c r="A38" s="5" t="s">
        <v>62</v>
      </c>
      <c r="B38" s="8" t="s">
        <v>4</v>
      </c>
      <c r="C38" s="32" t="str">
        <f t="shared" si="0"/>
        <v>-</v>
      </c>
      <c r="D38" s="8" t="s">
        <v>4</v>
      </c>
      <c r="E38" s="32" t="str">
        <f t="shared" si="1"/>
        <v/>
      </c>
      <c r="F38" s="8" t="s">
        <v>4</v>
      </c>
      <c r="G38" s="32" t="str">
        <f t="shared" si="2"/>
        <v/>
      </c>
      <c r="H38" s="8">
        <v>-56</v>
      </c>
      <c r="I38" s="32">
        <f t="shared" si="3"/>
        <v>-5.2331557798336601E-3</v>
      </c>
      <c r="J38" s="8" t="s">
        <v>4</v>
      </c>
      <c r="K38" s="32" t="str">
        <f t="shared" si="4"/>
        <v/>
      </c>
      <c r="L38" s="8" t="s">
        <v>4</v>
      </c>
      <c r="M38" s="32" t="str">
        <f t="shared" si="5"/>
        <v/>
      </c>
    </row>
    <row r="39" spans="1:14" ht="12" x14ac:dyDescent="0.15">
      <c r="A39" s="5" t="s">
        <v>61</v>
      </c>
      <c r="B39" s="8">
        <v>67.5</v>
      </c>
      <c r="C39" s="32">
        <f t="shared" si="0"/>
        <v>6.3803240259371992E-3</v>
      </c>
      <c r="D39" s="8">
        <v>-27.6</v>
      </c>
      <c r="E39" s="32">
        <f t="shared" si="1"/>
        <v>-2.8589185829707895E-3</v>
      </c>
      <c r="F39" s="8" t="s">
        <v>4</v>
      </c>
      <c r="G39" s="32" t="str">
        <f t="shared" si="2"/>
        <v/>
      </c>
      <c r="H39" s="8" t="s">
        <v>4</v>
      </c>
      <c r="I39" s="32" t="str">
        <f t="shared" si="3"/>
        <v/>
      </c>
      <c r="J39" s="8" t="s">
        <v>4</v>
      </c>
      <c r="K39" s="32" t="str">
        <f t="shared" si="4"/>
        <v/>
      </c>
      <c r="L39" s="8" t="s">
        <v>4</v>
      </c>
      <c r="M39" s="32" t="str">
        <f t="shared" si="5"/>
        <v/>
      </c>
    </row>
    <row r="40" spans="1:14" ht="41" customHeight="1" x14ac:dyDescent="0.15">
      <c r="A40" s="7" t="s">
        <v>60</v>
      </c>
      <c r="B40" s="16">
        <v>479.9</v>
      </c>
      <c r="C40" s="32">
        <f t="shared" si="0"/>
        <v>4.5361740741440913E-2</v>
      </c>
      <c r="D40" s="16">
        <v>-643.9</v>
      </c>
      <c r="E40" s="32">
        <f t="shared" si="1"/>
        <v>-6.6697741868655472E-2</v>
      </c>
      <c r="F40" s="16">
        <v>1239</v>
      </c>
      <c r="G40" s="32">
        <f t="shared" si="2"/>
        <v>0.12052880920649435</v>
      </c>
      <c r="H40" s="16">
        <v>-62.5</v>
      </c>
      <c r="I40" s="32">
        <f t="shared" si="3"/>
        <v>-5.8405756471357814E-3</v>
      </c>
      <c r="J40" s="16">
        <v>1252.5</v>
      </c>
      <c r="K40" s="32">
        <f t="shared" si="4"/>
        <v>0.10703207116671366</v>
      </c>
      <c r="L40" s="16">
        <v>1503</v>
      </c>
      <c r="M40" s="32">
        <f t="shared" si="5"/>
        <v>0.12926808291046701</v>
      </c>
      <c r="N40" s="345" t="s">
        <v>640</v>
      </c>
    </row>
    <row r="41" spans="1:14" x14ac:dyDescent="0.15">
      <c r="A41" s="5" t="s">
        <v>59</v>
      </c>
      <c r="B41" s="8">
        <v>233.7</v>
      </c>
      <c r="C41" s="32">
        <f t="shared" si="0"/>
        <v>2.2090099627578123E-2</v>
      </c>
      <c r="D41" s="8">
        <v>301.8</v>
      </c>
      <c r="E41" s="32">
        <f t="shared" si="1"/>
        <v>3.1261653200745809E-2</v>
      </c>
      <c r="F41" s="8">
        <v>230.5</v>
      </c>
      <c r="G41" s="32">
        <f t="shared" si="2"/>
        <v>2.2422833351167834E-2</v>
      </c>
      <c r="H41" s="8">
        <v>124</v>
      </c>
      <c r="I41" s="32">
        <f t="shared" si="3"/>
        <v>1.158770208391739E-2</v>
      </c>
      <c r="J41" s="8">
        <v>296.10000000000002</v>
      </c>
      <c r="K41" s="32">
        <f t="shared" si="4"/>
        <v>2.5303150716538058E-2</v>
      </c>
      <c r="L41" s="8">
        <v>345.3</v>
      </c>
      <c r="M41" s="32">
        <f t="shared" si="5"/>
        <v>2.9698116453083342E-2</v>
      </c>
    </row>
    <row r="42" spans="1:14" x14ac:dyDescent="0.15">
      <c r="A42" s="7" t="s">
        <v>58</v>
      </c>
      <c r="B42" s="16">
        <v>246.2</v>
      </c>
      <c r="C42" s="32">
        <f t="shared" si="0"/>
        <v>2.327164111386279E-2</v>
      </c>
      <c r="D42" s="16">
        <v>-945.7</v>
      </c>
      <c r="E42" s="32">
        <f t="shared" si="1"/>
        <v>-9.7959395069401295E-2</v>
      </c>
      <c r="F42" s="16">
        <v>1008.5</v>
      </c>
      <c r="G42" s="32">
        <f t="shared" si="2"/>
        <v>9.8105975855326516E-2</v>
      </c>
      <c r="H42" s="16">
        <v>-186.5</v>
      </c>
      <c r="I42" s="32">
        <f t="shared" si="3"/>
        <v>-1.7428277731053172E-2</v>
      </c>
      <c r="J42" s="16">
        <v>956.4</v>
      </c>
      <c r="K42" s="32">
        <f t="shared" si="4"/>
        <v>8.1728920450175602E-2</v>
      </c>
      <c r="L42" s="16">
        <v>1157.7</v>
      </c>
      <c r="M42" s="32">
        <f t="shared" si="5"/>
        <v>9.9569966457383682E-2</v>
      </c>
    </row>
    <row r="43" spans="1:14" ht="12" x14ac:dyDescent="0.15">
      <c r="A43" s="5" t="s">
        <v>57</v>
      </c>
      <c r="B43" s="8" t="s">
        <v>4</v>
      </c>
      <c r="C43" s="32" t="str">
        <f t="shared" si="0"/>
        <v>-</v>
      </c>
      <c r="D43" s="8" t="s">
        <v>4</v>
      </c>
      <c r="E43" s="32" t="str">
        <f t="shared" si="1"/>
        <v/>
      </c>
      <c r="F43" s="8" t="s">
        <v>4</v>
      </c>
      <c r="G43" s="32" t="str">
        <f t="shared" si="2"/>
        <v/>
      </c>
      <c r="H43" s="8" t="s">
        <v>4</v>
      </c>
      <c r="I43" s="32" t="str">
        <f t="shared" si="3"/>
        <v/>
      </c>
      <c r="J43" s="8" t="s">
        <v>4</v>
      </c>
      <c r="K43" s="32" t="str">
        <f t="shared" si="4"/>
        <v/>
      </c>
      <c r="L43" s="8" t="s">
        <v>4</v>
      </c>
      <c r="M43" s="32" t="str">
        <f t="shared" si="5"/>
        <v/>
      </c>
    </row>
    <row r="44" spans="1:14" ht="12" x14ac:dyDescent="0.15">
      <c r="A44" s="5" t="s">
        <v>56</v>
      </c>
      <c r="B44" s="8" t="s">
        <v>4</v>
      </c>
      <c r="C44" s="32" t="str">
        <f t="shared" si="0"/>
        <v>-</v>
      </c>
      <c r="D44" s="8" t="s">
        <v>4</v>
      </c>
      <c r="E44" s="32" t="str">
        <f t="shared" si="1"/>
        <v/>
      </c>
      <c r="F44" s="8" t="s">
        <v>4</v>
      </c>
      <c r="G44" s="32" t="str">
        <f t="shared" si="2"/>
        <v/>
      </c>
      <c r="H44" s="8" t="s">
        <v>4</v>
      </c>
      <c r="I44" s="32" t="str">
        <f t="shared" si="3"/>
        <v/>
      </c>
      <c r="J44" s="8" t="s">
        <v>4</v>
      </c>
      <c r="K44" s="32" t="str">
        <f t="shared" si="4"/>
        <v/>
      </c>
      <c r="L44" s="8" t="s">
        <v>4</v>
      </c>
      <c r="M44" s="32" t="str">
        <f t="shared" si="5"/>
        <v/>
      </c>
    </row>
    <row r="45" spans="1:14" x14ac:dyDescent="0.15">
      <c r="A45" s="7" t="s">
        <v>55</v>
      </c>
      <c r="B45" s="16">
        <v>246.2</v>
      </c>
      <c r="C45" s="32">
        <f t="shared" si="0"/>
        <v>2.327164111386279E-2</v>
      </c>
      <c r="D45" s="16">
        <v>-945.7</v>
      </c>
      <c r="E45" s="32">
        <f t="shared" si="1"/>
        <v>-9.7959395069401295E-2</v>
      </c>
      <c r="F45" s="16">
        <v>1008.5</v>
      </c>
      <c r="G45" s="32">
        <f t="shared" si="2"/>
        <v>9.8105975855326516E-2</v>
      </c>
      <c r="H45" s="16">
        <v>-186.5</v>
      </c>
      <c r="I45" s="32">
        <f t="shared" si="3"/>
        <v>-1.7428277731053172E-2</v>
      </c>
      <c r="J45" s="16">
        <v>956.4</v>
      </c>
      <c r="K45" s="32">
        <f t="shared" si="4"/>
        <v>8.1728920450175602E-2</v>
      </c>
      <c r="L45" s="16">
        <v>1157.7</v>
      </c>
      <c r="M45" s="32">
        <f t="shared" si="5"/>
        <v>9.9569966457383682E-2</v>
      </c>
    </row>
    <row r="46" spans="1:14" x14ac:dyDescent="0.15">
      <c r="A46" s="5" t="s">
        <v>54</v>
      </c>
      <c r="B46" s="8">
        <v>-4.5</v>
      </c>
      <c r="C46" s="32">
        <f t="shared" si="0"/>
        <v>-4.2535493506247994E-4</v>
      </c>
      <c r="D46" s="8">
        <v>-3.3</v>
      </c>
      <c r="E46" s="32">
        <f t="shared" si="1"/>
        <v>-3.4182722187694217E-4</v>
      </c>
      <c r="F46" s="8">
        <v>-2.8</v>
      </c>
      <c r="G46" s="32">
        <f t="shared" si="2"/>
        <v>-2.723814897321906E-4</v>
      </c>
      <c r="H46" s="8">
        <v>11.2</v>
      </c>
      <c r="I46" s="32">
        <f t="shared" si="3"/>
        <v>1.0466311559667321E-3</v>
      </c>
      <c r="J46" s="8">
        <v>-7.5</v>
      </c>
      <c r="K46" s="32">
        <f t="shared" si="4"/>
        <v>-6.4091060578870453E-4</v>
      </c>
      <c r="L46" s="8">
        <v>-35.299999999999997</v>
      </c>
      <c r="M46" s="32">
        <f t="shared" si="5"/>
        <v>-3.0360368108712475E-3</v>
      </c>
    </row>
    <row r="47" spans="1:14" ht="24" x14ac:dyDescent="0.15">
      <c r="A47" s="7" t="s">
        <v>53</v>
      </c>
      <c r="B47" s="15">
        <v>241.7</v>
      </c>
      <c r="C47" s="32">
        <f t="shared" si="0"/>
        <v>2.2846286178800308E-2</v>
      </c>
      <c r="D47" s="15">
        <v>-949</v>
      </c>
      <c r="E47" s="32">
        <f t="shared" si="1"/>
        <v>-9.8301222291278231E-2</v>
      </c>
      <c r="F47" s="15">
        <v>1005.7</v>
      </c>
      <c r="G47" s="32">
        <f t="shared" si="2"/>
        <v>9.7833594365594329E-2</v>
      </c>
      <c r="H47" s="15">
        <v>-175.3</v>
      </c>
      <c r="I47" s="32">
        <f t="shared" si="3"/>
        <v>-1.638164657508644E-2</v>
      </c>
      <c r="J47" s="15">
        <v>948.9</v>
      </c>
      <c r="K47" s="32">
        <f t="shared" si="4"/>
        <v>8.1088009844386896E-2</v>
      </c>
      <c r="L47" s="15">
        <v>1122.4000000000001</v>
      </c>
      <c r="M47" s="32">
        <f t="shared" si="5"/>
        <v>9.6533929646512431E-2</v>
      </c>
      <c r="N47" s="344" t="s">
        <v>641</v>
      </c>
    </row>
    <row r="48" spans="1:14" ht="12" x14ac:dyDescent="0.15">
      <c r="A48" s="5" t="s">
        <v>52</v>
      </c>
      <c r="B48" s="8" t="s">
        <v>4</v>
      </c>
      <c r="C48" s="32" t="str">
        <f t="shared" si="0"/>
        <v>-</v>
      </c>
      <c r="D48" s="8" t="s">
        <v>4</v>
      </c>
      <c r="E48" s="32" t="str">
        <f t="shared" si="1"/>
        <v/>
      </c>
      <c r="F48" s="8" t="s">
        <v>4</v>
      </c>
      <c r="G48" s="32" t="str">
        <f t="shared" si="2"/>
        <v/>
      </c>
      <c r="H48" s="8" t="s">
        <v>4</v>
      </c>
      <c r="I48" s="32" t="str">
        <f t="shared" si="3"/>
        <v/>
      </c>
      <c r="J48" s="8" t="s">
        <v>4</v>
      </c>
      <c r="K48" s="32" t="str">
        <f t="shared" si="4"/>
        <v/>
      </c>
      <c r="L48" s="8" t="s">
        <v>4</v>
      </c>
      <c r="M48" s="32" t="str">
        <f t="shared" si="5"/>
        <v/>
      </c>
    </row>
    <row r="49" spans="1:13" x14ac:dyDescent="0.15">
      <c r="A49" s="7" t="s">
        <v>51</v>
      </c>
      <c r="B49" s="6">
        <v>241.7</v>
      </c>
      <c r="C49" s="32">
        <f t="shared" si="0"/>
        <v>2.2846286178800308E-2</v>
      </c>
      <c r="D49" s="6">
        <v>-949</v>
      </c>
      <c r="E49" s="32">
        <f t="shared" si="1"/>
        <v>-9.8301222291278231E-2</v>
      </c>
      <c r="F49" s="6">
        <v>1005.7</v>
      </c>
      <c r="G49" s="32">
        <f t="shared" si="2"/>
        <v>9.7833594365594329E-2</v>
      </c>
      <c r="H49" s="6">
        <v>-175.3</v>
      </c>
      <c r="I49" s="32">
        <f t="shared" si="3"/>
        <v>-1.638164657508644E-2</v>
      </c>
      <c r="J49" s="6">
        <v>948.9</v>
      </c>
      <c r="K49" s="32">
        <f t="shared" si="4"/>
        <v>8.1088009844386896E-2</v>
      </c>
      <c r="L49" s="6">
        <v>1122.4000000000001</v>
      </c>
      <c r="M49" s="32">
        <f t="shared" si="5"/>
        <v>9.6533929646512431E-2</v>
      </c>
    </row>
    <row r="50" spans="1:13" x14ac:dyDescent="0.15">
      <c r="A50" s="7" t="s">
        <v>50</v>
      </c>
      <c r="B50" s="6">
        <v>241.7</v>
      </c>
      <c r="C50" s="32">
        <f t="shared" si="0"/>
        <v>2.2846286178800308E-2</v>
      </c>
      <c r="D50" s="6">
        <v>-949</v>
      </c>
      <c r="E50" s="32">
        <f t="shared" si="1"/>
        <v>-9.8301222291278231E-2</v>
      </c>
      <c r="F50" s="6">
        <v>1005.7</v>
      </c>
      <c r="G50" s="32">
        <f t="shared" si="2"/>
        <v>9.7833594365594329E-2</v>
      </c>
      <c r="H50" s="6">
        <v>-175.3</v>
      </c>
      <c r="I50" s="32">
        <f t="shared" si="3"/>
        <v>-1.638164657508644E-2</v>
      </c>
      <c r="J50" s="6">
        <v>948.9</v>
      </c>
      <c r="K50" s="32">
        <f t="shared" si="4"/>
        <v>8.1088009844386896E-2</v>
      </c>
      <c r="L50" s="6">
        <v>1122.4000000000001</v>
      </c>
      <c r="M50" s="32">
        <f t="shared" si="5"/>
        <v>9.6533929646512431E-2</v>
      </c>
    </row>
    <row r="51" spans="1:13" x14ac:dyDescent="0.15">
      <c r="A51" s="7" t="s">
        <v>49</v>
      </c>
      <c r="B51" s="5"/>
      <c r="C51" s="32">
        <f t="shared" si="0"/>
        <v>0</v>
      </c>
      <c r="D51" s="5"/>
      <c r="E51" s="32">
        <f t="shared" si="1"/>
        <v>0</v>
      </c>
      <c r="F51" s="5"/>
      <c r="G51" s="32">
        <f t="shared" si="2"/>
        <v>0</v>
      </c>
      <c r="H51" s="5"/>
      <c r="I51" s="32">
        <f t="shared" si="3"/>
        <v>0</v>
      </c>
      <c r="J51" s="5"/>
      <c r="K51" s="32">
        <f t="shared" si="4"/>
        <v>0</v>
      </c>
      <c r="L51" s="5"/>
      <c r="M51" s="32">
        <f t="shared" si="5"/>
        <v>0</v>
      </c>
    </row>
    <row r="52" spans="1:13" x14ac:dyDescent="0.15">
      <c r="A52" s="5" t="s">
        <v>48</v>
      </c>
      <c r="B52" s="13">
        <v>1.1200000000000001</v>
      </c>
      <c r="C52" s="32">
        <f t="shared" si="0"/>
        <v>1.0586611717110613E-4</v>
      </c>
      <c r="D52" s="13">
        <v>-4.38</v>
      </c>
      <c r="E52" s="32">
        <f t="shared" si="1"/>
        <v>-4.5369794903666873E-4</v>
      </c>
      <c r="F52" s="13">
        <v>4.63</v>
      </c>
      <c r="G52" s="32">
        <f t="shared" si="2"/>
        <v>4.5040224909287233E-4</v>
      </c>
      <c r="H52" s="13">
        <v>-0.81</v>
      </c>
      <c r="I52" s="32">
        <f t="shared" si="3"/>
        <v>-7.5693860386879738E-5</v>
      </c>
      <c r="J52" s="13">
        <v>4.3899999999999997</v>
      </c>
      <c r="K52" s="32">
        <f t="shared" si="4"/>
        <v>3.7514634125498838E-4</v>
      </c>
      <c r="L52" s="13">
        <v>5.38</v>
      </c>
      <c r="M52" s="32">
        <f t="shared" si="5"/>
        <v>4.627160918551647E-4</v>
      </c>
    </row>
    <row r="53" spans="1:13" x14ac:dyDescent="0.15">
      <c r="A53" s="5" t="s">
        <v>47</v>
      </c>
      <c r="B53" s="14">
        <v>1.1158809999999999</v>
      </c>
      <c r="C53" s="32">
        <f t="shared" si="0"/>
        <v>1.0547677562054558E-4</v>
      </c>
      <c r="D53" s="14">
        <v>-4.38</v>
      </c>
      <c r="E53" s="32">
        <f t="shared" si="1"/>
        <v>-4.5369794903666873E-4</v>
      </c>
      <c r="F53" s="14">
        <v>4.6324269999999999</v>
      </c>
      <c r="G53" s="32">
        <f t="shared" si="2"/>
        <v>4.5063834547700806E-4</v>
      </c>
      <c r="H53" s="14">
        <v>-0.81</v>
      </c>
      <c r="I53" s="32">
        <f t="shared" si="3"/>
        <v>-7.5693860386879738E-5</v>
      </c>
      <c r="J53" s="14">
        <v>4.3930550000000004</v>
      </c>
      <c r="K53" s="32">
        <f t="shared" si="4"/>
        <v>3.7540740550841305E-4</v>
      </c>
      <c r="L53" s="14">
        <v>5.3754780000000002</v>
      </c>
      <c r="M53" s="32">
        <f t="shared" si="5"/>
        <v>4.6232716951922251E-4</v>
      </c>
    </row>
    <row r="54" spans="1:13" x14ac:dyDescent="0.15">
      <c r="A54" s="5" t="s">
        <v>46</v>
      </c>
      <c r="B54" s="8">
        <v>216.6</v>
      </c>
      <c r="C54" s="32">
        <f t="shared" si="0"/>
        <v>2.0473750874340699E-2</v>
      </c>
      <c r="D54" s="8">
        <v>216.8</v>
      </c>
      <c r="E54" s="32">
        <f t="shared" si="1"/>
        <v>2.2457012637248811E-2</v>
      </c>
      <c r="F54" s="8">
        <v>217.1</v>
      </c>
      <c r="G54" s="32">
        <f t="shared" si="2"/>
        <v>2.111929336459235E-2</v>
      </c>
      <c r="H54" s="8">
        <v>216.9</v>
      </c>
      <c r="I54" s="32">
        <f t="shared" si="3"/>
        <v>2.0269133725820017E-2</v>
      </c>
      <c r="J54" s="8">
        <v>216</v>
      </c>
      <c r="K54" s="32">
        <f t="shared" si="4"/>
        <v>1.8458225446714691E-2</v>
      </c>
      <c r="L54" s="8">
        <v>208.8</v>
      </c>
      <c r="M54" s="32">
        <f t="shared" si="5"/>
        <v>1.7958200739657693E-2</v>
      </c>
    </row>
    <row r="55" spans="1:13" x14ac:dyDescent="0.15">
      <c r="A55" s="5" t="s">
        <v>45</v>
      </c>
      <c r="B55" s="13">
        <v>1.1100000000000001</v>
      </c>
      <c r="C55" s="32">
        <f t="shared" si="0"/>
        <v>1.0492088398207839E-4</v>
      </c>
      <c r="D55" s="13">
        <v>-4.38</v>
      </c>
      <c r="E55" s="32">
        <f t="shared" si="1"/>
        <v>-4.5369794903666873E-4</v>
      </c>
      <c r="F55" s="13">
        <v>4.62</v>
      </c>
      <c r="G55" s="32">
        <f t="shared" si="2"/>
        <v>4.4942945805811449E-4</v>
      </c>
      <c r="H55" s="13">
        <v>-0.81</v>
      </c>
      <c r="I55" s="32">
        <f t="shared" si="3"/>
        <v>-7.5693860386879738E-5</v>
      </c>
      <c r="J55" s="13">
        <v>4.37</v>
      </c>
      <c r="K55" s="32">
        <f t="shared" si="4"/>
        <v>3.7343724630621854E-4</v>
      </c>
      <c r="L55" s="13">
        <v>5.35</v>
      </c>
      <c r="M55" s="32">
        <f t="shared" si="5"/>
        <v>4.601358905994667E-4</v>
      </c>
    </row>
    <row r="56" spans="1:13" x14ac:dyDescent="0.15">
      <c r="A56" s="5" t="s">
        <v>44</v>
      </c>
      <c r="B56" s="14">
        <v>1.1100000000000001</v>
      </c>
      <c r="C56" s="32">
        <f>IFERROR(B56/$B$13,"-")</f>
        <v>1.0492088398207839E-4</v>
      </c>
      <c r="D56" s="14">
        <v>-4.38</v>
      </c>
      <c r="E56" s="32">
        <f t="shared" si="1"/>
        <v>-4.5369794903666873E-4</v>
      </c>
      <c r="F56" s="14">
        <v>4.62</v>
      </c>
      <c r="G56" s="32">
        <f t="shared" si="2"/>
        <v>4.4942945805811449E-4</v>
      </c>
      <c r="H56" s="14">
        <v>-0.81</v>
      </c>
      <c r="I56" s="32">
        <f t="shared" si="3"/>
        <v>-7.5693860386879738E-5</v>
      </c>
      <c r="J56" s="14">
        <v>4.37</v>
      </c>
      <c r="K56" s="32">
        <f t="shared" si="4"/>
        <v>3.7343724630621854E-4</v>
      </c>
      <c r="L56" s="14">
        <v>5.35</v>
      </c>
      <c r="M56" s="32">
        <f t="shared" si="5"/>
        <v>4.601358905994667E-4</v>
      </c>
    </row>
    <row r="57" spans="1:13" x14ac:dyDescent="0.15">
      <c r="A57" s="5" t="s">
        <v>43</v>
      </c>
      <c r="B57" s="8">
        <v>216.9</v>
      </c>
      <c r="C57" s="32">
        <f t="shared" si="0"/>
        <v>2.0502107870011534E-2</v>
      </c>
      <c r="D57" s="8">
        <v>216.8</v>
      </c>
      <c r="E57" s="32">
        <f t="shared" si="1"/>
        <v>2.2457012637248811E-2</v>
      </c>
      <c r="F57" s="8">
        <v>217.6</v>
      </c>
      <c r="G57" s="32">
        <f t="shared" si="2"/>
        <v>2.1167932916330241E-2</v>
      </c>
      <c r="H57" s="8">
        <v>216.9</v>
      </c>
      <c r="I57" s="32">
        <f t="shared" si="3"/>
        <v>2.0269133725820017E-2</v>
      </c>
      <c r="J57" s="8">
        <v>217.3</v>
      </c>
      <c r="K57" s="32">
        <f t="shared" si="4"/>
        <v>1.8569316618384735E-2</v>
      </c>
      <c r="L57" s="8">
        <v>209.9</v>
      </c>
      <c r="M57" s="32">
        <f t="shared" si="5"/>
        <v>1.8052808119033287E-2</v>
      </c>
    </row>
    <row r="58" spans="1:13" x14ac:dyDescent="0.15">
      <c r="A58" s="5" t="s">
        <v>42</v>
      </c>
      <c r="B58" s="13">
        <v>3.53</v>
      </c>
      <c r="C58" s="32">
        <f t="shared" si="0"/>
        <v>3.3366731572678977E-4</v>
      </c>
      <c r="D58" s="13">
        <v>3.23</v>
      </c>
      <c r="E58" s="32">
        <f t="shared" si="1"/>
        <v>3.3457634141288587E-4</v>
      </c>
      <c r="F58" s="13">
        <v>3.68</v>
      </c>
      <c r="G58" s="32">
        <f t="shared" si="2"/>
        <v>3.579871007908791E-4</v>
      </c>
      <c r="H58" s="13">
        <v>2.58</v>
      </c>
      <c r="I58" s="32">
        <f t="shared" si="3"/>
        <v>2.4109896271376507E-4</v>
      </c>
      <c r="J58" s="13">
        <v>4.0599999999999996</v>
      </c>
      <c r="K58" s="32">
        <f t="shared" si="4"/>
        <v>3.4694627460028538E-4</v>
      </c>
      <c r="L58" s="13">
        <v>4.53</v>
      </c>
      <c r="M58" s="32">
        <f t="shared" si="5"/>
        <v>3.8961038961038961E-4</v>
      </c>
    </row>
    <row r="59" spans="1:13" x14ac:dyDescent="0.15">
      <c r="A59" s="5" t="s">
        <v>41</v>
      </c>
      <c r="B59" s="14">
        <v>3.5235129999999999</v>
      </c>
      <c r="C59" s="32">
        <f t="shared" si="0"/>
        <v>3.3305414295706752E-4</v>
      </c>
      <c r="D59" s="14">
        <v>3.231722</v>
      </c>
      <c r="E59" s="32">
        <f t="shared" si="1"/>
        <v>3.3475471307230166E-4</v>
      </c>
      <c r="F59" s="14">
        <v>3.6745169999999998</v>
      </c>
      <c r="G59" s="32">
        <f t="shared" si="2"/>
        <v>3.5745371946652133E-4</v>
      </c>
      <c r="H59" s="14">
        <v>2.5790109999999999</v>
      </c>
      <c r="I59" s="32">
        <f t="shared" si="3"/>
        <v>2.4100654144472479E-4</v>
      </c>
      <c r="J59" s="14">
        <v>4.035895</v>
      </c>
      <c r="K59" s="32">
        <f t="shared" si="4"/>
        <v>3.4488638791328052E-4</v>
      </c>
      <c r="L59" s="14">
        <v>4.5019049999999998</v>
      </c>
      <c r="M59" s="32">
        <f t="shared" si="5"/>
        <v>3.8719403113442847E-4</v>
      </c>
    </row>
    <row r="60" spans="1:13" x14ac:dyDescent="0.15">
      <c r="A60" s="5" t="s">
        <v>40</v>
      </c>
      <c r="B60" s="13">
        <v>1.96</v>
      </c>
      <c r="C60" s="32">
        <f t="shared" si="0"/>
        <v>1.8526570504943569E-4</v>
      </c>
      <c r="D60" s="13">
        <v>0.56999999999999995</v>
      </c>
      <c r="E60" s="32">
        <f t="shared" si="1"/>
        <v>5.9042883778744558E-5</v>
      </c>
      <c r="F60" s="13">
        <v>0.68</v>
      </c>
      <c r="G60" s="32">
        <f t="shared" si="2"/>
        <v>6.6149790363532007E-5</v>
      </c>
      <c r="H60" s="13">
        <v>1.52</v>
      </c>
      <c r="I60" s="32">
        <f t="shared" si="3"/>
        <v>1.4204279973834222E-4</v>
      </c>
      <c r="J60" s="13">
        <v>1.64</v>
      </c>
      <c r="K60" s="32">
        <f t="shared" si="4"/>
        <v>1.4014578579913005E-4</v>
      </c>
      <c r="L60" s="13">
        <v>1.76</v>
      </c>
      <c r="M60" s="32">
        <f t="shared" si="5"/>
        <v>1.5137180700094607E-4</v>
      </c>
    </row>
    <row r="61" spans="1:13" ht="12" x14ac:dyDescent="0.15">
      <c r="A61" s="5" t="s">
        <v>39</v>
      </c>
      <c r="B61" s="11">
        <v>1.755895</v>
      </c>
      <c r="C61" s="32">
        <f t="shared" si="0"/>
        <v>1.6597302304478516E-4</v>
      </c>
      <c r="D61" s="11" t="s">
        <v>30</v>
      </c>
      <c r="E61" s="32" t="str">
        <f t="shared" si="1"/>
        <v/>
      </c>
      <c r="F61" s="11">
        <v>0.14696200000000001</v>
      </c>
      <c r="G61" s="32">
        <f t="shared" si="2"/>
        <v>1.4296331605007928E-5</v>
      </c>
      <c r="H61" s="11" t="s">
        <v>30</v>
      </c>
      <c r="I61" s="32" t="str">
        <f t="shared" si="3"/>
        <v/>
      </c>
      <c r="J61" s="11">
        <v>0.37380099999999999</v>
      </c>
      <c r="K61" s="32">
        <f t="shared" si="4"/>
        <v>3.1943070047256477E-5</v>
      </c>
      <c r="L61" s="11">
        <v>0.32893699999999998</v>
      </c>
      <c r="M61" s="32">
        <f t="shared" si="5"/>
        <v>2.8290788681517157E-5</v>
      </c>
    </row>
    <row r="62" spans="1:13" x14ac:dyDescent="0.15">
      <c r="A62" s="5" t="s">
        <v>38</v>
      </c>
      <c r="B62" s="12">
        <v>1</v>
      </c>
      <c r="C62" s="32">
        <f t="shared" ref="C62:C94" si="6">IFERROR(B62/$B$13,"-")</f>
        <v>9.4523318902773319E-5</v>
      </c>
      <c r="D62" s="12">
        <v>1</v>
      </c>
      <c r="E62" s="32">
        <f t="shared" ref="E62:E94" si="7">IFERROR(D62/$D$13,"")</f>
        <v>1.0358400662937643E-4</v>
      </c>
      <c r="F62" s="12">
        <v>1</v>
      </c>
      <c r="G62" s="32">
        <f t="shared" ref="G62:G94" si="8">IFERROR(F62/$F$13,"")</f>
        <v>9.727910347578236E-5</v>
      </c>
      <c r="H62" s="12">
        <v>1</v>
      </c>
      <c r="I62" s="32">
        <f t="shared" ref="I62:I94" si="9">IFERROR(H62/$H$13,"")</f>
        <v>9.3449210354172509E-5</v>
      </c>
      <c r="J62" s="12">
        <v>1</v>
      </c>
      <c r="K62" s="32">
        <f t="shared" ref="K62:K94" si="10">IFERROR(J62/$J$13,"")</f>
        <v>8.545474743849395E-5</v>
      </c>
      <c r="L62" s="12">
        <v>1</v>
      </c>
      <c r="M62" s="32">
        <f t="shared" ref="M62:M94" si="11">IFERROR(L62/$L$13,"")</f>
        <v>8.6006708523264815E-5</v>
      </c>
    </row>
    <row r="63" spans="1:13" x14ac:dyDescent="0.15">
      <c r="A63" s="5"/>
      <c r="B63" s="5"/>
      <c r="C63" s="32">
        <f t="shared" si="6"/>
        <v>0</v>
      </c>
      <c r="D63" s="5"/>
      <c r="E63" s="32">
        <f t="shared" si="7"/>
        <v>0</v>
      </c>
      <c r="F63" s="5"/>
      <c r="G63" s="32">
        <f t="shared" si="8"/>
        <v>0</v>
      </c>
      <c r="H63" s="5"/>
      <c r="I63" s="32">
        <f t="shared" si="9"/>
        <v>0</v>
      </c>
      <c r="J63" s="5"/>
      <c r="K63" s="32">
        <f t="shared" si="10"/>
        <v>0</v>
      </c>
      <c r="L63" s="5"/>
      <c r="M63" s="32">
        <f t="shared" si="11"/>
        <v>0</v>
      </c>
    </row>
    <row r="64" spans="1:13" x14ac:dyDescent="0.15">
      <c r="A64" s="7" t="s">
        <v>37</v>
      </c>
      <c r="B64" s="5"/>
      <c r="C64" s="32">
        <f t="shared" si="6"/>
        <v>0</v>
      </c>
      <c r="D64" s="5"/>
      <c r="E64" s="32">
        <f t="shared" si="7"/>
        <v>0</v>
      </c>
      <c r="F64" s="5"/>
      <c r="G64" s="32">
        <f t="shared" si="8"/>
        <v>0</v>
      </c>
      <c r="H64" s="5"/>
      <c r="I64" s="32">
        <f t="shared" si="9"/>
        <v>0</v>
      </c>
      <c r="J64" s="5"/>
      <c r="K64" s="32">
        <f t="shared" si="10"/>
        <v>0</v>
      </c>
      <c r="L64" s="5"/>
      <c r="M64" s="32">
        <f t="shared" si="11"/>
        <v>0</v>
      </c>
    </row>
    <row r="65" spans="1:14" x14ac:dyDescent="0.15">
      <c r="A65" s="5" t="s">
        <v>36</v>
      </c>
      <c r="B65" s="8">
        <v>2328.4</v>
      </c>
      <c r="C65" s="32">
        <f t="shared" si="6"/>
        <v>0.22008809573321739</v>
      </c>
      <c r="D65" s="8">
        <v>2198.9</v>
      </c>
      <c r="E65" s="32">
        <f t="shared" si="7"/>
        <v>0.22777087217733583</v>
      </c>
      <c r="F65" s="8">
        <v>2316</v>
      </c>
      <c r="G65" s="32">
        <f t="shared" si="8"/>
        <v>0.22529840364991194</v>
      </c>
      <c r="H65" s="8">
        <v>1813.8</v>
      </c>
      <c r="I65" s="32">
        <f t="shared" si="9"/>
        <v>0.16949817774039808</v>
      </c>
      <c r="J65" s="8">
        <v>2281.9</v>
      </c>
      <c r="K65" s="32">
        <f t="shared" si="10"/>
        <v>0.19499918817989934</v>
      </c>
      <c r="L65" s="8">
        <v>2476.6999999999998</v>
      </c>
      <c r="M65" s="32">
        <f t="shared" si="11"/>
        <v>0.21301281499956995</v>
      </c>
    </row>
    <row r="66" spans="1:14" x14ac:dyDescent="0.15">
      <c r="A66" s="5" t="s">
        <v>35</v>
      </c>
      <c r="B66" s="8">
        <v>1722.3</v>
      </c>
      <c r="C66" s="32">
        <f t="shared" si="6"/>
        <v>0.16279751214624649</v>
      </c>
      <c r="D66" s="8">
        <v>1609.2</v>
      </c>
      <c r="E66" s="32">
        <f t="shared" si="7"/>
        <v>0.16668738346799256</v>
      </c>
      <c r="F66" s="8">
        <v>1763.3</v>
      </c>
      <c r="G66" s="32">
        <f t="shared" si="8"/>
        <v>0.17153224315884702</v>
      </c>
      <c r="H66" s="8">
        <v>1337.1</v>
      </c>
      <c r="I66" s="32">
        <f t="shared" si="9"/>
        <v>0.12495093916456405</v>
      </c>
      <c r="J66" s="8">
        <v>1806.4</v>
      </c>
      <c r="K66" s="32">
        <f t="shared" si="10"/>
        <v>0.15436545577289545</v>
      </c>
      <c r="L66" s="8">
        <v>2017.3</v>
      </c>
      <c r="M66" s="32">
        <f t="shared" si="11"/>
        <v>0.17350133310398211</v>
      </c>
    </row>
    <row r="67" spans="1:14" ht="24" x14ac:dyDescent="0.15">
      <c r="A67" s="5" t="s">
        <v>34</v>
      </c>
      <c r="B67" s="8">
        <v>1501.1</v>
      </c>
      <c r="C67" s="32">
        <f t="shared" si="6"/>
        <v>0.14188895400495302</v>
      </c>
      <c r="D67" s="8">
        <v>1389.2</v>
      </c>
      <c r="E67" s="32">
        <f t="shared" si="7"/>
        <v>0.14389890200952973</v>
      </c>
      <c r="F67" s="8">
        <v>1545.3</v>
      </c>
      <c r="G67" s="32">
        <f t="shared" si="8"/>
        <v>0.15032539860112648</v>
      </c>
      <c r="H67" s="8">
        <v>1129</v>
      </c>
      <c r="I67" s="32">
        <f t="shared" si="9"/>
        <v>0.10550415848986076</v>
      </c>
      <c r="J67" s="8">
        <v>1599.1</v>
      </c>
      <c r="K67" s="32">
        <f t="shared" si="10"/>
        <v>0.13665068662889565</v>
      </c>
      <c r="L67" s="8">
        <v>1810.9</v>
      </c>
      <c r="M67" s="32">
        <f t="shared" si="11"/>
        <v>0.15574954846478026</v>
      </c>
      <c r="N67" s="344" t="s">
        <v>642</v>
      </c>
    </row>
    <row r="68" spans="1:14" x14ac:dyDescent="0.15">
      <c r="A68" s="5" t="s">
        <v>33</v>
      </c>
      <c r="B68" s="8">
        <v>2399.4</v>
      </c>
      <c r="C68" s="32">
        <f t="shared" si="6"/>
        <v>0.22679925137531431</v>
      </c>
      <c r="D68" s="8">
        <v>2270.3000000000002</v>
      </c>
      <c r="E68" s="32">
        <f t="shared" si="7"/>
        <v>0.23516677025067331</v>
      </c>
      <c r="F68" s="8">
        <v>2389.1999999999998</v>
      </c>
      <c r="G68" s="32">
        <f t="shared" si="8"/>
        <v>0.2324192340243392</v>
      </c>
      <c r="H68" s="8">
        <v>1886.3</v>
      </c>
      <c r="I68" s="32">
        <f t="shared" si="9"/>
        <v>0.17627324549107559</v>
      </c>
      <c r="J68" s="8">
        <v>2363.1999999999998</v>
      </c>
      <c r="K68" s="32">
        <f t="shared" si="10"/>
        <v>0.20194665914664886</v>
      </c>
      <c r="L68" s="8">
        <v>2563.6</v>
      </c>
      <c r="M68" s="32">
        <f t="shared" si="11"/>
        <v>0.22048679797024168</v>
      </c>
    </row>
    <row r="69" spans="1:14" x14ac:dyDescent="0.15">
      <c r="A69" s="5" t="s">
        <v>32</v>
      </c>
      <c r="B69" s="8">
        <v>10579.4</v>
      </c>
      <c r="C69" s="32">
        <f t="shared" si="6"/>
        <v>1</v>
      </c>
      <c r="D69" s="8">
        <v>9654</v>
      </c>
      <c r="E69" s="32">
        <f t="shared" si="7"/>
        <v>1</v>
      </c>
      <c r="F69" s="8">
        <v>10279.700000000001</v>
      </c>
      <c r="G69" s="32">
        <f t="shared" si="8"/>
        <v>1</v>
      </c>
      <c r="H69" s="8">
        <v>10701</v>
      </c>
      <c r="I69" s="32">
        <f t="shared" si="9"/>
        <v>1</v>
      </c>
      <c r="J69" s="8">
        <v>11702.1</v>
      </c>
      <c r="K69" s="32">
        <f t="shared" si="10"/>
        <v>1</v>
      </c>
      <c r="L69" s="8">
        <v>11627</v>
      </c>
      <c r="M69" s="32">
        <f t="shared" si="11"/>
        <v>1</v>
      </c>
    </row>
    <row r="70" spans="1:14" ht="12" x14ac:dyDescent="0.15">
      <c r="A70" s="5" t="s">
        <v>31</v>
      </c>
      <c r="B70" s="11">
        <v>0.48697600000000002</v>
      </c>
      <c r="C70" s="32">
        <f t="shared" si="6"/>
        <v>4.6030587745996944E-5</v>
      </c>
      <c r="D70" s="11" t="s">
        <v>30</v>
      </c>
      <c r="E70" s="32" t="str">
        <f t="shared" si="7"/>
        <v/>
      </c>
      <c r="F70" s="11">
        <v>0.18603700000000001</v>
      </c>
      <c r="G70" s="32">
        <f t="shared" si="8"/>
        <v>1.8097512573324124E-5</v>
      </c>
      <c r="H70" s="11" t="s">
        <v>30</v>
      </c>
      <c r="I70" s="32" t="str">
        <f t="shared" si="9"/>
        <v/>
      </c>
      <c r="J70" s="11">
        <v>0.23640700000000001</v>
      </c>
      <c r="K70" s="32">
        <f t="shared" si="10"/>
        <v>2.0202100477692038E-5</v>
      </c>
      <c r="L70" s="11">
        <v>0.22974</v>
      </c>
      <c r="M70" s="32">
        <f t="shared" si="11"/>
        <v>1.975918121613486E-5</v>
      </c>
    </row>
    <row r="71" spans="1:14" x14ac:dyDescent="0.15">
      <c r="A71" s="5" t="s">
        <v>29</v>
      </c>
      <c r="B71" s="8">
        <v>78.5</v>
      </c>
      <c r="C71" s="32">
        <f t="shared" si="6"/>
        <v>7.4200805338677052E-3</v>
      </c>
      <c r="D71" s="8">
        <v>84.2</v>
      </c>
      <c r="E71" s="32">
        <f t="shared" si="7"/>
        <v>8.7217733581934961E-3</v>
      </c>
      <c r="F71" s="8">
        <v>50.6</v>
      </c>
      <c r="G71" s="32">
        <f t="shared" si="8"/>
        <v>4.9223226358745872E-3</v>
      </c>
      <c r="H71" s="8">
        <v>168.4</v>
      </c>
      <c r="I71" s="32">
        <f t="shared" si="9"/>
        <v>1.5736847023642652E-2</v>
      </c>
      <c r="J71" s="8">
        <v>222.8</v>
      </c>
      <c r="K71" s="32">
        <f t="shared" si="10"/>
        <v>1.9039317729296453E-2</v>
      </c>
      <c r="L71" s="8">
        <v>173.3</v>
      </c>
      <c r="M71" s="32">
        <f t="shared" si="11"/>
        <v>1.4904962587081794E-2</v>
      </c>
    </row>
    <row r="72" spans="1:14" x14ac:dyDescent="0.15">
      <c r="A72" s="5" t="s">
        <v>28</v>
      </c>
      <c r="B72" s="8">
        <v>46.7</v>
      </c>
      <c r="C72" s="32">
        <f t="shared" si="6"/>
        <v>4.4142389927595144E-3</v>
      </c>
      <c r="D72" s="8">
        <v>111.4</v>
      </c>
      <c r="E72" s="32">
        <f t="shared" si="7"/>
        <v>1.1539258338512534E-2</v>
      </c>
      <c r="F72" s="8">
        <v>-1</v>
      </c>
      <c r="G72" s="32">
        <f t="shared" si="8"/>
        <v>-9.727910347578236E-5</v>
      </c>
      <c r="H72" s="8">
        <v>-17.2</v>
      </c>
      <c r="I72" s="32">
        <f t="shared" si="9"/>
        <v>-1.607326418091767E-3</v>
      </c>
      <c r="J72" s="8">
        <v>37.299999999999997</v>
      </c>
      <c r="K72" s="32">
        <f t="shared" si="10"/>
        <v>3.1874620794558237E-3</v>
      </c>
      <c r="L72" s="8">
        <v>54.5</v>
      </c>
      <c r="M72" s="32">
        <f t="shared" si="11"/>
        <v>4.6873656145179328E-3</v>
      </c>
    </row>
    <row r="73" spans="1:14" x14ac:dyDescent="0.15">
      <c r="A73" s="5" t="s">
        <v>27</v>
      </c>
      <c r="B73" s="8">
        <v>125.2</v>
      </c>
      <c r="C73" s="32">
        <f t="shared" si="6"/>
        <v>1.183431952662722E-2</v>
      </c>
      <c r="D73" s="8">
        <v>195.6</v>
      </c>
      <c r="E73" s="32">
        <f t="shared" si="7"/>
        <v>2.0261031696706028E-2</v>
      </c>
      <c r="F73" s="8">
        <v>49.6</v>
      </c>
      <c r="G73" s="32">
        <f t="shared" si="8"/>
        <v>4.8250435323988049E-3</v>
      </c>
      <c r="H73" s="8">
        <v>151.19999999999999</v>
      </c>
      <c r="I73" s="32">
        <f t="shared" si="9"/>
        <v>1.4129520605550882E-2</v>
      </c>
      <c r="J73" s="8">
        <v>260.10000000000002</v>
      </c>
      <c r="K73" s="32">
        <f t="shared" si="10"/>
        <v>2.2226779808752276E-2</v>
      </c>
      <c r="L73" s="8">
        <v>227.8</v>
      </c>
      <c r="M73" s="32">
        <f t="shared" si="11"/>
        <v>1.9592328201599726E-2</v>
      </c>
    </row>
    <row r="74" spans="1:14" x14ac:dyDescent="0.15">
      <c r="A74" s="5" t="s">
        <v>26</v>
      </c>
      <c r="B74" s="8">
        <v>150.5</v>
      </c>
      <c r="C74" s="32">
        <f t="shared" si="6"/>
        <v>1.4225759494867384E-2</v>
      </c>
      <c r="D74" s="8">
        <v>121.4</v>
      </c>
      <c r="E74" s="32">
        <f t="shared" si="7"/>
        <v>1.2575098404806298E-2</v>
      </c>
      <c r="F74" s="8">
        <v>233.9</v>
      </c>
      <c r="G74" s="32">
        <f t="shared" si="8"/>
        <v>2.2753582302985496E-2</v>
      </c>
      <c r="H74" s="8">
        <v>30.2</v>
      </c>
      <c r="I74" s="32">
        <f t="shared" si="9"/>
        <v>2.8221661526960096E-3</v>
      </c>
      <c r="J74" s="8">
        <v>102.8</v>
      </c>
      <c r="K74" s="32">
        <f t="shared" si="10"/>
        <v>8.7847480366771771E-3</v>
      </c>
      <c r="L74" s="8">
        <v>123</v>
      </c>
      <c r="M74" s="32">
        <f t="shared" si="11"/>
        <v>1.0578825148361573E-2</v>
      </c>
    </row>
    <row r="75" spans="1:14" x14ac:dyDescent="0.15">
      <c r="A75" s="5" t="s">
        <v>25</v>
      </c>
      <c r="B75" s="8">
        <v>-42</v>
      </c>
      <c r="C75" s="32">
        <f t="shared" si="6"/>
        <v>-3.9699793939164795E-3</v>
      </c>
      <c r="D75" s="8">
        <v>-15.2</v>
      </c>
      <c r="E75" s="32">
        <f t="shared" si="7"/>
        <v>-1.5744769007665215E-3</v>
      </c>
      <c r="F75" s="8">
        <v>-53</v>
      </c>
      <c r="G75" s="32">
        <f t="shared" si="8"/>
        <v>-5.1557924842164649E-3</v>
      </c>
      <c r="H75" s="8">
        <v>-57.4</v>
      </c>
      <c r="I75" s="32">
        <f t="shared" si="9"/>
        <v>-5.3639846743295016E-3</v>
      </c>
      <c r="J75" s="8">
        <v>-66.8</v>
      </c>
      <c r="K75" s="32">
        <f t="shared" si="10"/>
        <v>-5.7083771288913955E-3</v>
      </c>
      <c r="L75" s="8">
        <v>-5.5</v>
      </c>
      <c r="M75" s="32">
        <f t="shared" si="11"/>
        <v>-4.7303689687795648E-4</v>
      </c>
    </row>
    <row r="76" spans="1:14" x14ac:dyDescent="0.15">
      <c r="A76" s="5" t="s">
        <v>24</v>
      </c>
      <c r="B76" s="8">
        <v>108.5</v>
      </c>
      <c r="C76" s="32">
        <f t="shared" si="6"/>
        <v>1.0255780100950905E-2</v>
      </c>
      <c r="D76" s="8">
        <v>106.2</v>
      </c>
      <c r="E76" s="32">
        <f t="shared" si="7"/>
        <v>1.1000621504039777E-2</v>
      </c>
      <c r="F76" s="8">
        <v>180.9</v>
      </c>
      <c r="G76" s="32">
        <f t="shared" si="8"/>
        <v>1.7597789818769031E-2</v>
      </c>
      <c r="H76" s="8">
        <v>-27.2</v>
      </c>
      <c r="I76" s="32">
        <f t="shared" si="9"/>
        <v>-2.541818521633492E-3</v>
      </c>
      <c r="J76" s="8">
        <v>36</v>
      </c>
      <c r="K76" s="32">
        <f t="shared" si="10"/>
        <v>3.076370907785782E-3</v>
      </c>
      <c r="L76" s="8">
        <v>117.5</v>
      </c>
      <c r="M76" s="32">
        <f t="shared" si="11"/>
        <v>1.0105788251483616E-2</v>
      </c>
    </row>
    <row r="77" spans="1:14" x14ac:dyDescent="0.15">
      <c r="A77" s="5"/>
      <c r="B77" s="5"/>
      <c r="C77" s="32">
        <f t="shared" si="6"/>
        <v>0</v>
      </c>
      <c r="D77" s="5"/>
      <c r="E77" s="32">
        <f t="shared" si="7"/>
        <v>0</v>
      </c>
      <c r="F77" s="5"/>
      <c r="G77" s="32">
        <f t="shared" si="8"/>
        <v>0</v>
      </c>
      <c r="H77" s="5"/>
      <c r="I77" s="32">
        <f t="shared" si="9"/>
        <v>0</v>
      </c>
      <c r="J77" s="5"/>
      <c r="K77" s="32">
        <f t="shared" si="10"/>
        <v>0</v>
      </c>
      <c r="L77" s="5"/>
      <c r="M77" s="32">
        <f t="shared" si="11"/>
        <v>0</v>
      </c>
    </row>
    <row r="78" spans="1:14" x14ac:dyDescent="0.15">
      <c r="A78" s="5" t="s">
        <v>23</v>
      </c>
      <c r="B78" s="8">
        <v>764.25</v>
      </c>
      <c r="C78" s="32">
        <f t="shared" si="6"/>
        <v>7.2239446471444507E-2</v>
      </c>
      <c r="D78" s="8">
        <v>700.63750000000005</v>
      </c>
      <c r="E78" s="32">
        <f t="shared" si="7"/>
        <v>7.2574839444789735E-2</v>
      </c>
      <c r="F78" s="8">
        <v>799.57500000000005</v>
      </c>
      <c r="G78" s="32">
        <f t="shared" si="8"/>
        <v>7.7781939161648689E-2</v>
      </c>
      <c r="H78" s="8">
        <v>559.38750000000005</v>
      </c>
      <c r="I78" s="32">
        <f t="shared" si="9"/>
        <v>5.227432015699468E-2</v>
      </c>
      <c r="J78" s="8">
        <v>877</v>
      </c>
      <c r="K78" s="32">
        <f t="shared" si="10"/>
        <v>7.4943813503559192E-2</v>
      </c>
      <c r="L78" s="8">
        <v>944.95</v>
      </c>
      <c r="M78" s="32">
        <f t="shared" si="11"/>
        <v>8.1272039219059095E-2</v>
      </c>
    </row>
    <row r="79" spans="1:14" x14ac:dyDescent="0.15">
      <c r="A79" s="5" t="s">
        <v>22</v>
      </c>
      <c r="B79" s="8">
        <v>8.3000000000000007</v>
      </c>
      <c r="C79" s="32">
        <f t="shared" si="6"/>
        <v>7.8454354689301857E-4</v>
      </c>
      <c r="D79" s="8">
        <v>7.7</v>
      </c>
      <c r="E79" s="32">
        <f t="shared" si="7"/>
        <v>7.9759685104619849E-4</v>
      </c>
      <c r="F79" s="8">
        <v>8.8000000000000007</v>
      </c>
      <c r="G79" s="32">
        <f t="shared" si="8"/>
        <v>8.5605611058688481E-4</v>
      </c>
      <c r="H79" s="8">
        <v>6.8</v>
      </c>
      <c r="I79" s="32">
        <f t="shared" si="9"/>
        <v>6.35454630408373E-4</v>
      </c>
      <c r="J79" s="8">
        <v>9.4</v>
      </c>
      <c r="K79" s="32">
        <f t="shared" si="10"/>
        <v>8.0327462592184309E-4</v>
      </c>
      <c r="L79" s="8">
        <v>12.4</v>
      </c>
      <c r="M79" s="32">
        <f t="shared" si="11"/>
        <v>1.0664831856884837E-3</v>
      </c>
    </row>
    <row r="80" spans="1:14" x14ac:dyDescent="0.15">
      <c r="A80" s="5" t="s">
        <v>21</v>
      </c>
      <c r="B80" s="8">
        <v>-14.1</v>
      </c>
      <c r="C80" s="32">
        <f t="shared" si="6"/>
        <v>-1.3327787965291037E-3</v>
      </c>
      <c r="D80" s="8">
        <v>-34.1</v>
      </c>
      <c r="E80" s="32">
        <f t="shared" si="7"/>
        <v>-3.5322146260617364E-3</v>
      </c>
      <c r="F80" s="8">
        <v>-53.6</v>
      </c>
      <c r="G80" s="32">
        <f t="shared" si="8"/>
        <v>-5.2141599463019347E-3</v>
      </c>
      <c r="H80" s="8">
        <v>-41.8</v>
      </c>
      <c r="I80" s="32">
        <f t="shared" si="9"/>
        <v>-3.9061769928044106E-3</v>
      </c>
      <c r="J80" s="8">
        <v>-0.3</v>
      </c>
      <c r="K80" s="32">
        <f t="shared" si="10"/>
        <v>-2.5636424231548182E-5</v>
      </c>
      <c r="L80" s="8">
        <v>12.3</v>
      </c>
      <c r="M80" s="32">
        <f t="shared" si="11"/>
        <v>1.0578825148361572E-3</v>
      </c>
    </row>
    <row r="81" spans="1:14" x14ac:dyDescent="0.15">
      <c r="A81" s="5" t="s">
        <v>20</v>
      </c>
      <c r="B81" s="10">
        <v>44615</v>
      </c>
      <c r="C81" s="32">
        <f t="shared" si="6"/>
        <v>4.2171578728472312</v>
      </c>
      <c r="D81" s="10">
        <v>44978</v>
      </c>
      <c r="E81" s="32">
        <f t="shared" si="7"/>
        <v>4.6590014501760928</v>
      </c>
      <c r="F81" s="10">
        <v>45342</v>
      </c>
      <c r="G81" s="32">
        <f t="shared" si="8"/>
        <v>4.4108291097989234</v>
      </c>
      <c r="H81" s="10">
        <v>45706</v>
      </c>
      <c r="I81" s="32">
        <f t="shared" si="9"/>
        <v>4.2711896084478083</v>
      </c>
      <c r="J81" s="10">
        <v>45706</v>
      </c>
      <c r="K81" s="32">
        <f t="shared" si="10"/>
        <v>3.9057946864238042</v>
      </c>
      <c r="L81" s="10">
        <v>45706</v>
      </c>
      <c r="M81" s="32">
        <f t="shared" si="11"/>
        <v>3.9310226197643416</v>
      </c>
    </row>
    <row r="82" spans="1:14" ht="12" x14ac:dyDescent="0.15">
      <c r="A82" s="5" t="s">
        <v>19</v>
      </c>
      <c r="B82" s="9" t="s">
        <v>18</v>
      </c>
      <c r="C82" s="32" t="str">
        <f t="shared" si="6"/>
        <v>-</v>
      </c>
      <c r="D82" s="9" t="s">
        <v>18</v>
      </c>
      <c r="E82" s="32" t="str">
        <f t="shared" si="7"/>
        <v/>
      </c>
      <c r="F82" s="9" t="s">
        <v>17</v>
      </c>
      <c r="G82" s="32" t="str">
        <f t="shared" si="8"/>
        <v/>
      </c>
      <c r="H82" s="9" t="s">
        <v>18</v>
      </c>
      <c r="I82" s="32" t="str">
        <f t="shared" si="9"/>
        <v/>
      </c>
      <c r="J82" s="9" t="s">
        <v>17</v>
      </c>
      <c r="K82" s="32" t="str">
        <f t="shared" si="10"/>
        <v/>
      </c>
      <c r="L82" s="9" t="s">
        <v>16</v>
      </c>
      <c r="M82" s="32" t="str">
        <f t="shared" si="11"/>
        <v/>
      </c>
    </row>
    <row r="83" spans="1:14" ht="12" x14ac:dyDescent="0.15">
      <c r="A83" s="5" t="s">
        <v>15</v>
      </c>
      <c r="B83" s="9" t="s">
        <v>14</v>
      </c>
      <c r="C83" s="32" t="str">
        <f t="shared" si="6"/>
        <v>-</v>
      </c>
      <c r="D83" s="9" t="s">
        <v>14</v>
      </c>
      <c r="E83" s="32" t="str">
        <f t="shared" si="7"/>
        <v/>
      </c>
      <c r="F83" s="9" t="s">
        <v>14</v>
      </c>
      <c r="G83" s="32" t="str">
        <f t="shared" si="8"/>
        <v/>
      </c>
      <c r="H83" s="9" t="s">
        <v>14</v>
      </c>
      <c r="I83" s="32" t="str">
        <f t="shared" si="9"/>
        <v/>
      </c>
      <c r="J83" s="9" t="s">
        <v>14</v>
      </c>
      <c r="K83" s="32" t="str">
        <f t="shared" si="10"/>
        <v/>
      </c>
      <c r="L83" s="9" t="s">
        <v>14</v>
      </c>
      <c r="M83" s="32" t="str">
        <f t="shared" si="11"/>
        <v/>
      </c>
    </row>
    <row r="84" spans="1:14" x14ac:dyDescent="0.15">
      <c r="A84" s="5"/>
      <c r="B84" s="5"/>
      <c r="C84" s="32">
        <f t="shared" si="6"/>
        <v>0</v>
      </c>
      <c r="D84" s="5"/>
      <c r="E84" s="32">
        <f t="shared" si="7"/>
        <v>0</v>
      </c>
      <c r="F84" s="5"/>
      <c r="G84" s="32">
        <f t="shared" si="8"/>
        <v>0</v>
      </c>
      <c r="H84" s="5"/>
      <c r="I84" s="32">
        <f t="shared" si="9"/>
        <v>0</v>
      </c>
      <c r="J84" s="5"/>
      <c r="K84" s="32">
        <f t="shared" si="10"/>
        <v>0</v>
      </c>
      <c r="L84" s="5"/>
      <c r="M84" s="32">
        <f t="shared" si="11"/>
        <v>0</v>
      </c>
    </row>
    <row r="85" spans="1:14" x14ac:dyDescent="0.15">
      <c r="A85" s="7" t="s">
        <v>13</v>
      </c>
      <c r="B85" s="5"/>
      <c r="C85" s="32">
        <f t="shared" si="6"/>
        <v>0</v>
      </c>
      <c r="D85" s="5"/>
      <c r="E85" s="32">
        <f t="shared" si="7"/>
        <v>0</v>
      </c>
      <c r="F85" s="5"/>
      <c r="G85" s="32">
        <f t="shared" si="8"/>
        <v>0</v>
      </c>
      <c r="H85" s="5"/>
      <c r="I85" s="32">
        <f t="shared" si="9"/>
        <v>0</v>
      </c>
      <c r="J85" s="5"/>
      <c r="K85" s="32">
        <f t="shared" si="10"/>
        <v>0</v>
      </c>
      <c r="L85" s="5"/>
      <c r="M85" s="32">
        <f t="shared" si="11"/>
        <v>0</v>
      </c>
    </row>
    <row r="86" spans="1:14" ht="36" x14ac:dyDescent="0.15">
      <c r="A86" s="5" t="s">
        <v>12</v>
      </c>
      <c r="B86" s="8">
        <v>1200</v>
      </c>
      <c r="C86" s="32">
        <f t="shared" si="6"/>
        <v>0.11342798268332797</v>
      </c>
      <c r="D86" s="8">
        <v>900</v>
      </c>
      <c r="E86" s="32">
        <f t="shared" si="7"/>
        <v>9.3225605966438779E-2</v>
      </c>
      <c r="F86" s="8">
        <v>1100</v>
      </c>
      <c r="G86" s="32">
        <f t="shared" si="8"/>
        <v>0.1070070138233606</v>
      </c>
      <c r="H86" s="8">
        <v>1000</v>
      </c>
      <c r="I86" s="32">
        <f t="shared" si="9"/>
        <v>9.3449210354172502E-2</v>
      </c>
      <c r="J86" s="8">
        <v>1100</v>
      </c>
      <c r="K86" s="32">
        <f t="shared" si="10"/>
        <v>9.4000222182343343E-2</v>
      </c>
      <c r="L86" s="8">
        <v>1100</v>
      </c>
      <c r="M86" s="32">
        <f t="shared" si="11"/>
        <v>9.46073793755913E-2</v>
      </c>
      <c r="N86" s="344" t="s">
        <v>643</v>
      </c>
    </row>
    <row r="87" spans="1:14" ht="12" x14ac:dyDescent="0.15">
      <c r="A87" s="5" t="s">
        <v>11</v>
      </c>
      <c r="B87" s="8">
        <v>1200</v>
      </c>
      <c r="C87" s="32">
        <f t="shared" si="6"/>
        <v>0.11342798268332797</v>
      </c>
      <c r="D87" s="8">
        <v>900</v>
      </c>
      <c r="E87" s="32">
        <f t="shared" si="7"/>
        <v>9.3225605966438779E-2</v>
      </c>
      <c r="F87" s="8">
        <v>1100</v>
      </c>
      <c r="G87" s="32">
        <f t="shared" si="8"/>
        <v>0.1070070138233606</v>
      </c>
      <c r="H87" s="8">
        <v>1000</v>
      </c>
      <c r="I87" s="32">
        <f t="shared" si="9"/>
        <v>9.3449210354172502E-2</v>
      </c>
      <c r="J87" s="8">
        <v>1100</v>
      </c>
      <c r="K87" s="32">
        <f t="shared" si="10"/>
        <v>9.4000222182343343E-2</v>
      </c>
      <c r="L87" s="8">
        <v>1100</v>
      </c>
      <c r="M87" s="32">
        <f t="shared" si="11"/>
        <v>9.46073793755913E-2</v>
      </c>
      <c r="N87" s="346"/>
    </row>
    <row r="88" spans="1:14" x14ac:dyDescent="0.15">
      <c r="A88" s="5" t="s">
        <v>10</v>
      </c>
      <c r="B88" s="8">
        <v>71</v>
      </c>
      <c r="C88" s="32">
        <f t="shared" si="6"/>
        <v>6.7111556420969059E-3</v>
      </c>
      <c r="D88" s="8">
        <v>71.400000000000006</v>
      </c>
      <c r="E88" s="32">
        <f t="shared" si="7"/>
        <v>7.3958980733374773E-3</v>
      </c>
      <c r="F88" s="8">
        <v>73.2</v>
      </c>
      <c r="G88" s="32">
        <f t="shared" si="8"/>
        <v>7.1208303744272694E-3</v>
      </c>
      <c r="H88" s="8">
        <v>72.5</v>
      </c>
      <c r="I88" s="32">
        <f t="shared" si="9"/>
        <v>6.7750677506775072E-3</v>
      </c>
      <c r="J88" s="8">
        <v>81.3</v>
      </c>
      <c r="K88" s="32">
        <f t="shared" si="10"/>
        <v>6.947470966749557E-3</v>
      </c>
      <c r="L88" s="8">
        <v>86.9</v>
      </c>
      <c r="M88" s="32">
        <f t="shared" si="11"/>
        <v>7.4739829706717128E-3</v>
      </c>
    </row>
    <row r="89" spans="1:14" x14ac:dyDescent="0.15">
      <c r="A89" s="5" t="s">
        <v>8</v>
      </c>
      <c r="B89" s="8">
        <v>16.507784000000001</v>
      </c>
      <c r="C89" s="32">
        <f t="shared" si="6"/>
        <v>1.560370531410099E-3</v>
      </c>
      <c r="D89" s="8">
        <v>17.997941000000001</v>
      </c>
      <c r="E89" s="32">
        <f t="shared" si="7"/>
        <v>1.8642988398591257E-3</v>
      </c>
      <c r="F89" s="8">
        <v>19.612915000000001</v>
      </c>
      <c r="G89" s="32">
        <f t="shared" si="8"/>
        <v>1.9079267877467241E-3</v>
      </c>
      <c r="H89" s="8">
        <v>21.067920000000001</v>
      </c>
      <c r="I89" s="32">
        <f t="shared" si="9"/>
        <v>1.9687804878048779E-3</v>
      </c>
      <c r="J89" s="8">
        <v>24.093418</v>
      </c>
      <c r="K89" s="32">
        <f t="shared" si="10"/>
        <v>2.058896950120064E-3</v>
      </c>
      <c r="L89" s="8">
        <v>32.082785000000001</v>
      </c>
      <c r="M89" s="32">
        <f t="shared" si="11"/>
        <v>2.7593347381095726E-3</v>
      </c>
    </row>
    <row r="90" spans="1:14" x14ac:dyDescent="0.15">
      <c r="A90" s="5" t="s">
        <v>7</v>
      </c>
      <c r="B90" s="8">
        <v>54.492215999999999</v>
      </c>
      <c r="C90" s="32">
        <f t="shared" si="6"/>
        <v>5.1507851106868067E-3</v>
      </c>
      <c r="D90" s="8">
        <v>53.402059000000001</v>
      </c>
      <c r="E90" s="32">
        <f t="shared" si="7"/>
        <v>5.5315992334783511E-3</v>
      </c>
      <c r="F90" s="8">
        <v>53.587085000000002</v>
      </c>
      <c r="G90" s="32">
        <f t="shared" si="8"/>
        <v>5.2129035866805449E-3</v>
      </c>
      <c r="H90" s="8">
        <v>51.432079999999999</v>
      </c>
      <c r="I90" s="32">
        <f t="shared" si="9"/>
        <v>4.8062872628726284E-3</v>
      </c>
      <c r="J90" s="8">
        <v>57.206581999999997</v>
      </c>
      <c r="K90" s="32">
        <f t="shared" si="10"/>
        <v>4.8885740166294935E-3</v>
      </c>
      <c r="L90" s="8">
        <v>54.817214999999997</v>
      </c>
      <c r="M90" s="32">
        <f t="shared" si="11"/>
        <v>4.7146482325621398E-3</v>
      </c>
    </row>
    <row r="91" spans="1:14" x14ac:dyDescent="0.15">
      <c r="A91" s="5"/>
      <c r="B91" s="5"/>
      <c r="C91" s="32">
        <f t="shared" si="6"/>
        <v>0</v>
      </c>
      <c r="D91" s="5"/>
      <c r="E91" s="32">
        <f t="shared" si="7"/>
        <v>0</v>
      </c>
      <c r="F91" s="5"/>
      <c r="G91" s="32">
        <f t="shared" si="8"/>
        <v>0</v>
      </c>
      <c r="H91" s="5"/>
      <c r="I91" s="32">
        <f t="shared" si="9"/>
        <v>0</v>
      </c>
      <c r="J91" s="5"/>
      <c r="K91" s="32">
        <f t="shared" si="10"/>
        <v>0</v>
      </c>
      <c r="L91" s="5"/>
      <c r="M91" s="32">
        <f t="shared" si="11"/>
        <v>0</v>
      </c>
    </row>
    <row r="92" spans="1:14" x14ac:dyDescent="0.15">
      <c r="A92" s="5" t="s">
        <v>6</v>
      </c>
      <c r="B92" s="8">
        <v>8.5</v>
      </c>
      <c r="C92" s="32">
        <f t="shared" si="6"/>
        <v>8.0344821067357321E-4</v>
      </c>
      <c r="D92" s="8">
        <v>24.2</v>
      </c>
      <c r="E92" s="32">
        <f t="shared" si="7"/>
        <v>2.5067329604309095E-3</v>
      </c>
      <c r="F92" s="8">
        <v>32.1</v>
      </c>
      <c r="G92" s="32">
        <f t="shared" si="8"/>
        <v>3.1226592215726138E-3</v>
      </c>
      <c r="H92" s="8">
        <v>33.6</v>
      </c>
      <c r="I92" s="32">
        <f t="shared" si="9"/>
        <v>3.1398934679001964E-3</v>
      </c>
      <c r="J92" s="8">
        <v>44.9</v>
      </c>
      <c r="K92" s="32">
        <f t="shared" si="10"/>
        <v>3.8369181599883779E-3</v>
      </c>
      <c r="L92" s="8">
        <v>43.1</v>
      </c>
      <c r="M92" s="32">
        <f t="shared" si="11"/>
        <v>3.7068891373527135E-3</v>
      </c>
    </row>
    <row r="93" spans="1:14" ht="12" x14ac:dyDescent="0.15">
      <c r="A93" s="5" t="s">
        <v>5</v>
      </c>
      <c r="B93" s="8" t="s">
        <v>4</v>
      </c>
      <c r="C93" s="32" t="str">
        <f t="shared" si="6"/>
        <v>-</v>
      </c>
      <c r="D93" s="8" t="s">
        <v>4</v>
      </c>
      <c r="E93" s="32" t="str">
        <f t="shared" si="7"/>
        <v/>
      </c>
      <c r="F93" s="8" t="s">
        <v>4</v>
      </c>
      <c r="G93" s="32" t="str">
        <f t="shared" si="8"/>
        <v/>
      </c>
      <c r="H93" s="8" t="s">
        <v>4</v>
      </c>
      <c r="I93" s="32" t="str">
        <f t="shared" si="9"/>
        <v/>
      </c>
      <c r="J93" s="8" t="s">
        <v>4</v>
      </c>
      <c r="K93" s="32" t="str">
        <f t="shared" si="10"/>
        <v/>
      </c>
      <c r="L93" s="8" t="s">
        <v>4</v>
      </c>
      <c r="M93" s="32" t="str">
        <f t="shared" si="11"/>
        <v/>
      </c>
    </row>
    <row r="94" spans="1:14" x14ac:dyDescent="0.15">
      <c r="A94" s="7" t="s">
        <v>3</v>
      </c>
      <c r="B94" s="6">
        <v>8.5</v>
      </c>
      <c r="C94" s="32">
        <f t="shared" si="6"/>
        <v>8.0344821067357321E-4</v>
      </c>
      <c r="D94" s="6">
        <v>24.2</v>
      </c>
      <c r="E94" s="32">
        <f t="shared" si="7"/>
        <v>2.5067329604309095E-3</v>
      </c>
      <c r="F94" s="6">
        <v>32.1</v>
      </c>
      <c r="G94" s="32">
        <f t="shared" si="8"/>
        <v>3.1226592215726138E-3</v>
      </c>
      <c r="H94" s="6">
        <v>33.6</v>
      </c>
      <c r="I94" s="32">
        <f t="shared" si="9"/>
        <v>3.1398934679001964E-3</v>
      </c>
      <c r="J94" s="6">
        <v>44.9</v>
      </c>
      <c r="K94" s="32">
        <f t="shared" si="10"/>
        <v>3.8369181599883779E-3</v>
      </c>
      <c r="L94" s="6">
        <v>43.1</v>
      </c>
      <c r="M94" s="32">
        <f t="shared" si="11"/>
        <v>3.7068891373527135E-3</v>
      </c>
    </row>
    <row r="95" spans="1:14" x14ac:dyDescent="0.15">
      <c r="A95" s="5"/>
      <c r="B95" s="5"/>
      <c r="C95" s="5"/>
      <c r="D95" s="5"/>
      <c r="E95" s="5"/>
      <c r="F95" s="5"/>
      <c r="G95" s="5"/>
      <c r="H95" s="5"/>
      <c r="I95" s="33"/>
      <c r="J95" s="5"/>
      <c r="K95" s="5"/>
      <c r="L95" s="5"/>
    </row>
    <row r="96" spans="1:14" x14ac:dyDescent="0.15">
      <c r="A96" s="4" t="s">
        <v>2</v>
      </c>
      <c r="B96" s="3"/>
      <c r="C96" s="3"/>
      <c r="D96" s="3"/>
      <c r="E96" s="3"/>
      <c r="F96" s="3"/>
      <c r="G96" s="3"/>
      <c r="H96" s="3"/>
      <c r="I96" s="3"/>
      <c r="J96" s="3"/>
      <c r="K96" s="3"/>
      <c r="L96" s="3"/>
    </row>
    <row r="97" spans="1:1" x14ac:dyDescent="0.15">
      <c r="A97" s="1" t="s">
        <v>1</v>
      </c>
    </row>
    <row r="98" spans="1:1" x14ac:dyDescent="0.15">
      <c r="A98" s="2" t="s">
        <v>0</v>
      </c>
    </row>
  </sheetData>
  <mergeCells count="1">
    <mergeCell ref="N11:N12"/>
  </mergeCells>
  <pageMargins left="0.2" right="0.2" top="0.5" bottom="0.5" header="0.5" footer="0.5"/>
  <pageSetup fitToWidth="0" fitToHeight="0" orientation="landscape" horizontalDpi="0" verticalDpi="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02FA4-7194-964B-97D7-964A9DA413F2}">
  <sheetPr codeName="Sheet5">
    <outlinePr summaryBelow="0" summaryRight="0"/>
    <pageSetUpPr autoPageBreaks="0"/>
  </sheetPr>
  <dimension ref="A1:IW85"/>
  <sheetViews>
    <sheetView zoomScale="69" workbookViewId="0">
      <selection activeCell="L1" sqref="L1:L1048576"/>
    </sheetView>
  </sheetViews>
  <sheetFormatPr baseColWidth="10" defaultColWidth="10.83203125" defaultRowHeight="11" x14ac:dyDescent="0.15"/>
  <cols>
    <col min="1" max="1" width="45.83203125" style="1" customWidth="1"/>
    <col min="2" max="2" width="14.83203125" style="1" customWidth="1"/>
    <col min="3" max="3" width="8.33203125" style="1" customWidth="1"/>
    <col min="4" max="4" width="14.83203125" style="1" customWidth="1"/>
    <col min="5" max="5" width="8.33203125" style="1" customWidth="1"/>
    <col min="6" max="6" width="14.83203125" style="1" customWidth="1"/>
    <col min="7" max="7" width="8.33203125" style="1" customWidth="1"/>
    <col min="8" max="8" width="14.83203125" style="1" customWidth="1"/>
    <col min="9" max="9" width="8.33203125" style="1" customWidth="1"/>
    <col min="10" max="10" width="14.83203125" style="1" customWidth="1"/>
    <col min="11" max="11" width="8.33203125" style="1" customWidth="1"/>
    <col min="12" max="12" width="48.5" style="1" customWidth="1"/>
    <col min="13" max="258" width="8.83203125" style="1" customWidth="1"/>
    <col min="259" max="16384" width="10.83203125" style="1"/>
  </cols>
  <sheetData>
    <row r="1" spans="1:257" ht="17" x14ac:dyDescent="0.2">
      <c r="A1" s="23" t="s">
        <v>189</v>
      </c>
    </row>
    <row r="3" spans="1:257" ht="12" x14ac:dyDescent="0.15">
      <c r="A3" s="22" t="s">
        <v>117</v>
      </c>
      <c r="B3" s="20" t="s">
        <v>116</v>
      </c>
      <c r="C3" s="20"/>
      <c r="D3" s="1" t="s">
        <v>115</v>
      </c>
      <c r="F3" s="5" t="s">
        <v>98</v>
      </c>
      <c r="G3" s="5"/>
      <c r="H3" s="20" t="s">
        <v>114</v>
      </c>
      <c r="I3" s="20"/>
      <c r="J3" s="1" t="s">
        <v>113</v>
      </c>
    </row>
    <row r="4" spans="1:257" x14ac:dyDescent="0.15">
      <c r="A4" s="5"/>
      <c r="B4" s="20" t="s">
        <v>112</v>
      </c>
      <c r="C4" s="20"/>
      <c r="D4" s="1" t="s">
        <v>111</v>
      </c>
      <c r="F4" s="5" t="s">
        <v>98</v>
      </c>
      <c r="G4" s="5"/>
      <c r="H4" s="20" t="s">
        <v>110</v>
      </c>
      <c r="I4" s="20"/>
      <c r="J4" s="1" t="s">
        <v>109</v>
      </c>
    </row>
    <row r="5" spans="1:257" x14ac:dyDescent="0.15">
      <c r="A5" s="5"/>
      <c r="B5" s="20" t="s">
        <v>108</v>
      </c>
      <c r="C5" s="20"/>
      <c r="D5" s="1" t="s">
        <v>107</v>
      </c>
      <c r="F5" s="5" t="s">
        <v>98</v>
      </c>
      <c r="G5" s="5"/>
      <c r="H5" s="20" t="s">
        <v>106</v>
      </c>
      <c r="I5" s="20"/>
      <c r="J5" s="1" t="s">
        <v>105</v>
      </c>
    </row>
    <row r="6" spans="1:257" x14ac:dyDescent="0.15">
      <c r="A6" s="5"/>
      <c r="B6" s="20" t="s">
        <v>104</v>
      </c>
      <c r="C6" s="20"/>
      <c r="D6" s="1" t="s">
        <v>103</v>
      </c>
      <c r="F6" s="5" t="s">
        <v>98</v>
      </c>
      <c r="G6" s="5"/>
      <c r="H6" s="20" t="s">
        <v>102</v>
      </c>
      <c r="I6" s="20"/>
      <c r="J6" s="21" t="s">
        <v>101</v>
      </c>
    </row>
    <row r="7" spans="1:257" x14ac:dyDescent="0.15">
      <c r="A7" s="5"/>
      <c r="B7" s="20" t="s">
        <v>100</v>
      </c>
      <c r="C7" s="20"/>
      <c r="D7" s="1" t="s">
        <v>99</v>
      </c>
      <c r="F7" s="5" t="s">
        <v>98</v>
      </c>
      <c r="G7" s="5"/>
      <c r="H7" s="19"/>
      <c r="I7" s="19"/>
      <c r="J7" s="19"/>
    </row>
    <row r="10" spans="1:257" x14ac:dyDescent="0.15">
      <c r="A10" s="18" t="s">
        <v>187</v>
      </c>
      <c r="B10" s="18"/>
      <c r="C10" s="18"/>
      <c r="D10" s="18"/>
      <c r="E10" s="18"/>
      <c r="F10" s="18"/>
      <c r="G10" s="18"/>
      <c r="H10" s="18"/>
      <c r="I10" s="18"/>
      <c r="J10" s="18"/>
      <c r="K10" s="18"/>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c r="IV10" s="17"/>
      <c r="IW10" s="17"/>
    </row>
    <row r="11" spans="1:257" ht="24" x14ac:dyDescent="0.15">
      <c r="A11" s="27" t="s">
        <v>186</v>
      </c>
      <c r="B11" s="31">
        <v>44196</v>
      </c>
      <c r="C11" s="31"/>
      <c r="D11" s="31">
        <v>44561</v>
      </c>
      <c r="E11" s="31"/>
      <c r="F11" s="31">
        <v>44926</v>
      </c>
      <c r="G11" s="31"/>
      <c r="H11" s="31">
        <v>45291</v>
      </c>
      <c r="I11" s="31"/>
      <c r="J11" s="31">
        <v>45657</v>
      </c>
      <c r="K11" s="31"/>
      <c r="L11" s="342" t="s">
        <v>636</v>
      </c>
    </row>
    <row r="12" spans="1:257" ht="12" x14ac:dyDescent="0.15">
      <c r="A12" s="29" t="s">
        <v>89</v>
      </c>
      <c r="B12" s="30" t="s">
        <v>88</v>
      </c>
      <c r="C12" s="30"/>
      <c r="D12" s="30" t="s">
        <v>88</v>
      </c>
      <c r="E12" s="30"/>
      <c r="F12" s="30" t="s">
        <v>88</v>
      </c>
      <c r="G12" s="30"/>
      <c r="H12" s="30" t="s">
        <v>88</v>
      </c>
      <c r="I12" s="30"/>
      <c r="J12" s="30" t="s">
        <v>88</v>
      </c>
      <c r="K12" s="30"/>
      <c r="L12" s="343"/>
    </row>
    <row r="13" spans="1:257" x14ac:dyDescent="0.15">
      <c r="A13" s="7" t="s">
        <v>185</v>
      </c>
      <c r="B13" s="5"/>
      <c r="C13" s="5"/>
      <c r="D13" s="5"/>
      <c r="E13" s="5"/>
      <c r="F13" s="5"/>
      <c r="G13" s="5"/>
      <c r="H13" s="5"/>
      <c r="I13" s="5"/>
      <c r="J13" s="5"/>
    </row>
    <row r="14" spans="1:257" x14ac:dyDescent="0.15">
      <c r="A14" s="5" t="s">
        <v>184</v>
      </c>
      <c r="B14" s="8">
        <v>770.1</v>
      </c>
      <c r="C14" s="32">
        <f>IFERROR(B14/$B$31,"")</f>
        <v>2.8176692485849458E-2</v>
      </c>
      <c r="D14" s="8">
        <v>637.4</v>
      </c>
      <c r="E14" s="32">
        <f>IFERROR(D14/$D$31,"")</f>
        <v>2.3078315652268366E-2</v>
      </c>
      <c r="F14" s="8">
        <v>600</v>
      </c>
      <c r="G14" s="32">
        <f>IFERROR(F14/$F$31,"")</f>
        <v>2.3194411693076081E-2</v>
      </c>
      <c r="H14" s="8">
        <v>868.9</v>
      </c>
      <c r="I14" s="32">
        <f>IFERROR(H14/$H$31,"")</f>
        <v>3.2943950923408821E-2</v>
      </c>
      <c r="J14" s="8">
        <v>969.3</v>
      </c>
      <c r="K14" s="32">
        <f>IFERROR(J14/$J$31,"")</f>
        <v>3.7188798471472474E-2</v>
      </c>
    </row>
    <row r="15" spans="1:257" x14ac:dyDescent="0.15">
      <c r="A15" s="7" t="s">
        <v>183</v>
      </c>
      <c r="B15" s="16">
        <v>770.1</v>
      </c>
      <c r="C15" s="32">
        <f t="shared" ref="C15:C54" si="0">IFERROR(B15/$B$31,"")</f>
        <v>2.8176692485849458E-2</v>
      </c>
      <c r="D15" s="16">
        <v>637.4</v>
      </c>
      <c r="E15" s="32">
        <f t="shared" ref="E15:E54" si="1">IFERROR(D15/$D$31,"")</f>
        <v>2.3078315652268366E-2</v>
      </c>
      <c r="F15" s="16">
        <v>600</v>
      </c>
      <c r="G15" s="32">
        <f t="shared" ref="G15:G54" si="2">IFERROR(F15/$F$31,"")</f>
        <v>2.3194411693076081E-2</v>
      </c>
      <c r="H15" s="16">
        <v>868.9</v>
      </c>
      <c r="I15" s="32">
        <f t="shared" ref="I15:I54" si="3">IFERROR(H15/$H$31,"")</f>
        <v>3.2943950923408821E-2</v>
      </c>
      <c r="J15" s="16">
        <v>969.3</v>
      </c>
      <c r="K15" s="32">
        <f t="shared" ref="K15:K54" si="4">IFERROR(J15/$J$31,"")</f>
        <v>3.7188798471472474E-2</v>
      </c>
    </row>
    <row r="16" spans="1:257" x14ac:dyDescent="0.15">
      <c r="A16" s="5" t="s">
        <v>182</v>
      </c>
      <c r="B16" s="8">
        <v>549.6</v>
      </c>
      <c r="C16" s="32">
        <f t="shared" si="0"/>
        <v>2.0108960122351461E-2</v>
      </c>
      <c r="D16" s="8">
        <v>678.9</v>
      </c>
      <c r="E16" s="32">
        <f t="shared" si="1"/>
        <v>2.4580904449835256E-2</v>
      </c>
      <c r="F16" s="8">
        <v>739.8</v>
      </c>
      <c r="G16" s="32">
        <f t="shared" si="2"/>
        <v>2.8598709617562806E-2</v>
      </c>
      <c r="H16" s="8">
        <v>757.8</v>
      </c>
      <c r="I16" s="32">
        <f t="shared" si="3"/>
        <v>2.8731644619356893E-2</v>
      </c>
      <c r="J16" s="8">
        <v>693.1</v>
      </c>
      <c r="K16" s="32">
        <f t="shared" si="4"/>
        <v>2.6591928423168858E-2</v>
      </c>
    </row>
    <row r="17" spans="1:12" x14ac:dyDescent="0.15">
      <c r="A17" s="5" t="s">
        <v>181</v>
      </c>
      <c r="B17" s="8">
        <v>137.5</v>
      </c>
      <c r="C17" s="32">
        <f t="shared" si="0"/>
        <v>5.0308988661268671E-3</v>
      </c>
      <c r="D17" s="8">
        <v>200.5</v>
      </c>
      <c r="E17" s="32">
        <f t="shared" si="1"/>
        <v>7.2594952749918534E-3</v>
      </c>
      <c r="F17" s="8">
        <v>126.4</v>
      </c>
      <c r="G17" s="32">
        <f t="shared" si="2"/>
        <v>4.8862893966746951E-3</v>
      </c>
      <c r="H17" s="8">
        <v>121.6</v>
      </c>
      <c r="I17" s="32">
        <f t="shared" si="3"/>
        <v>4.610409060060436E-3</v>
      </c>
      <c r="J17" s="8">
        <v>149.80000000000001</v>
      </c>
      <c r="K17" s="32">
        <f t="shared" si="4"/>
        <v>5.7473248849959531E-3</v>
      </c>
    </row>
    <row r="18" spans="1:12" ht="24" customHeight="1" x14ac:dyDescent="0.15">
      <c r="A18" s="7" t="s">
        <v>180</v>
      </c>
      <c r="B18" s="16">
        <v>687.1</v>
      </c>
      <c r="C18" s="32">
        <f t="shared" si="0"/>
        <v>2.5139858988478328E-2</v>
      </c>
      <c r="D18" s="16">
        <v>879.4</v>
      </c>
      <c r="E18" s="32">
        <f t="shared" si="1"/>
        <v>3.1840399724827113E-2</v>
      </c>
      <c r="F18" s="16">
        <v>866.2</v>
      </c>
      <c r="G18" s="32">
        <f t="shared" si="2"/>
        <v>3.3484999014237508E-2</v>
      </c>
      <c r="H18" s="16">
        <v>879.4</v>
      </c>
      <c r="I18" s="32">
        <f t="shared" si="3"/>
        <v>3.3342053679417331E-2</v>
      </c>
      <c r="J18" s="16">
        <v>842.9</v>
      </c>
      <c r="K18" s="32">
        <f t="shared" si="4"/>
        <v>3.2339253308164805E-2</v>
      </c>
      <c r="L18" s="347" t="s">
        <v>644</v>
      </c>
    </row>
    <row r="19" spans="1:12" x14ac:dyDescent="0.15">
      <c r="A19" s="5" t="s">
        <v>179</v>
      </c>
      <c r="B19" s="8">
        <v>664.3</v>
      </c>
      <c r="C19" s="32">
        <f t="shared" si="0"/>
        <v>2.4305644485586017E-2</v>
      </c>
      <c r="D19" s="8">
        <v>804.7</v>
      </c>
      <c r="E19" s="32">
        <f t="shared" si="1"/>
        <v>2.9135739889206706E-2</v>
      </c>
      <c r="F19" s="8">
        <v>792.9</v>
      </c>
      <c r="G19" s="32">
        <f t="shared" si="2"/>
        <v>3.065141505240004E-2</v>
      </c>
      <c r="H19" s="8">
        <v>802.3</v>
      </c>
      <c r="I19" s="32">
        <f t="shared" si="3"/>
        <v>3.041884201386914E-2</v>
      </c>
      <c r="J19" s="8">
        <v>727.8</v>
      </c>
      <c r="K19" s="32">
        <f t="shared" si="4"/>
        <v>2.7923251343792081E-2</v>
      </c>
      <c r="L19" s="347"/>
    </row>
    <row r="20" spans="1:12" x14ac:dyDescent="0.15">
      <c r="A20" s="5" t="s">
        <v>178</v>
      </c>
      <c r="B20" s="8">
        <v>297.3</v>
      </c>
      <c r="C20" s="32">
        <f t="shared" si="0"/>
        <v>1.0877718057451037E-2</v>
      </c>
      <c r="D20" s="8">
        <v>457.2</v>
      </c>
      <c r="E20" s="32">
        <f t="shared" si="1"/>
        <v>1.6553821644520076E-2</v>
      </c>
      <c r="F20" s="8">
        <v>378.9</v>
      </c>
      <c r="G20" s="32">
        <f t="shared" si="2"/>
        <v>1.4647270984177545E-2</v>
      </c>
      <c r="H20" s="8">
        <v>297.89999999999998</v>
      </c>
      <c r="I20" s="32">
        <f t="shared" si="3"/>
        <v>1.1294743906184242E-2</v>
      </c>
      <c r="J20" s="8">
        <v>308.39999999999998</v>
      </c>
      <c r="K20" s="32">
        <f t="shared" si="4"/>
        <v>1.1832276331994336E-2</v>
      </c>
    </row>
    <row r="21" spans="1:12" ht="48" x14ac:dyDescent="0.15">
      <c r="A21" s="7" t="s">
        <v>177</v>
      </c>
      <c r="B21" s="16">
        <v>2418.8000000000002</v>
      </c>
      <c r="C21" s="32">
        <f t="shared" si="0"/>
        <v>8.8499914017364845E-2</v>
      </c>
      <c r="D21" s="16">
        <v>2778.7</v>
      </c>
      <c r="E21" s="32">
        <f t="shared" si="1"/>
        <v>0.10060827691082225</v>
      </c>
      <c r="F21" s="16">
        <v>2638</v>
      </c>
      <c r="G21" s="32">
        <f t="shared" si="2"/>
        <v>0.10197809674389118</v>
      </c>
      <c r="H21" s="16">
        <v>2848.5</v>
      </c>
      <c r="I21" s="32">
        <f t="shared" si="3"/>
        <v>0.10799959052287954</v>
      </c>
      <c r="J21" s="16">
        <v>2848.4</v>
      </c>
      <c r="K21" s="32">
        <f t="shared" si="4"/>
        <v>0.1092835794554237</v>
      </c>
      <c r="L21" s="348" t="s">
        <v>645</v>
      </c>
    </row>
    <row r="22" spans="1:12" x14ac:dyDescent="0.15">
      <c r="A22" s="5" t="s">
        <v>176</v>
      </c>
      <c r="B22" s="8">
        <v>7802.9</v>
      </c>
      <c r="C22" s="32">
        <f t="shared" si="0"/>
        <v>0.28549527827273691</v>
      </c>
      <c r="D22" s="8">
        <v>7818.7</v>
      </c>
      <c r="E22" s="32">
        <f t="shared" si="1"/>
        <v>0.28309135015750025</v>
      </c>
      <c r="F22" s="8">
        <v>8017.4</v>
      </c>
      <c r="G22" s="32">
        <f t="shared" si="2"/>
        <v>0.30993146051344694</v>
      </c>
      <c r="H22" s="8">
        <v>8746.7999999999993</v>
      </c>
      <c r="I22" s="32">
        <f t="shared" si="3"/>
        <v>0.33163097011954457</v>
      </c>
      <c r="J22" s="8">
        <v>9041.4</v>
      </c>
      <c r="K22" s="32">
        <f t="shared" si="4"/>
        <v>0.34688827246463555</v>
      </c>
    </row>
    <row r="23" spans="1:12" x14ac:dyDescent="0.15">
      <c r="A23" s="5" t="s">
        <v>175</v>
      </c>
      <c r="B23" s="8">
        <v>-3416.4</v>
      </c>
      <c r="C23" s="32">
        <f t="shared" si="0"/>
        <v>-0.12500045735444237</v>
      </c>
      <c r="D23" s="8">
        <v>-3507.2</v>
      </c>
      <c r="E23" s="32">
        <f t="shared" si="1"/>
        <v>-0.12698504652594228</v>
      </c>
      <c r="F23" s="8">
        <v>-3661.9</v>
      </c>
      <c r="G23" s="32">
        <f t="shared" si="2"/>
        <v>-0.14155936029812552</v>
      </c>
      <c r="H23" s="8">
        <v>-4101.6000000000004</v>
      </c>
      <c r="I23" s="32">
        <f t="shared" si="3"/>
        <v>-0.15551031086138065</v>
      </c>
      <c r="J23" s="8">
        <v>-4392</v>
      </c>
      <c r="K23" s="32">
        <f t="shared" si="4"/>
        <v>-0.16850634776303219</v>
      </c>
    </row>
    <row r="24" spans="1:12" ht="48" x14ac:dyDescent="0.15">
      <c r="A24" s="7" t="s">
        <v>174</v>
      </c>
      <c r="B24" s="16">
        <v>4386.5</v>
      </c>
      <c r="C24" s="32">
        <f t="shared" si="0"/>
        <v>0.16049482091829456</v>
      </c>
      <c r="D24" s="16">
        <v>4311.5</v>
      </c>
      <c r="E24" s="32">
        <f t="shared" si="1"/>
        <v>0.15610630363155797</v>
      </c>
      <c r="F24" s="16">
        <v>4355.5</v>
      </c>
      <c r="G24" s="32">
        <f t="shared" si="2"/>
        <v>0.16837210021532145</v>
      </c>
      <c r="H24" s="16">
        <v>4645.2</v>
      </c>
      <c r="I24" s="32">
        <f t="shared" si="3"/>
        <v>0.17612065925816395</v>
      </c>
      <c r="J24" s="16">
        <v>4649.3999999999996</v>
      </c>
      <c r="K24" s="32">
        <f t="shared" si="4"/>
        <v>0.17838192470160333</v>
      </c>
      <c r="L24" s="348" t="s">
        <v>646</v>
      </c>
    </row>
    <row r="25" spans="1:12" ht="12" x14ac:dyDescent="0.15">
      <c r="A25" s="5" t="s">
        <v>173</v>
      </c>
      <c r="B25" s="8" t="s">
        <v>4</v>
      </c>
      <c r="C25" s="32" t="str">
        <f t="shared" si="0"/>
        <v/>
      </c>
      <c r="D25" s="8" t="s">
        <v>4</v>
      </c>
      <c r="E25" s="32" t="str">
        <f t="shared" si="1"/>
        <v/>
      </c>
      <c r="F25" s="8">
        <v>40</v>
      </c>
      <c r="G25" s="32">
        <f t="shared" si="2"/>
        <v>1.5462941128717388E-3</v>
      </c>
      <c r="H25" s="8">
        <v>264.3</v>
      </c>
      <c r="I25" s="32">
        <f t="shared" si="3"/>
        <v>1.0020815086957017E-2</v>
      </c>
      <c r="J25" s="8">
        <v>205.2</v>
      </c>
      <c r="K25" s="32">
        <f t="shared" si="4"/>
        <v>7.8728375594203561E-3</v>
      </c>
    </row>
    <row r="26" spans="1:12" ht="35" customHeight="1" x14ac:dyDescent="0.15">
      <c r="A26" s="5" t="s">
        <v>172</v>
      </c>
      <c r="B26" s="8">
        <v>6151</v>
      </c>
      <c r="C26" s="32">
        <f t="shared" si="0"/>
        <v>0.22505497400397351</v>
      </c>
      <c r="D26" s="8">
        <v>6152.6</v>
      </c>
      <c r="E26" s="32">
        <f t="shared" si="1"/>
        <v>0.22276693580506174</v>
      </c>
      <c r="F26" s="8">
        <v>5291.9</v>
      </c>
      <c r="G26" s="32">
        <f t="shared" si="2"/>
        <v>0.20457084539764886</v>
      </c>
      <c r="H26" s="8">
        <v>5325.3</v>
      </c>
      <c r="I26" s="32">
        <f t="shared" si="3"/>
        <v>0.20190634348305792</v>
      </c>
      <c r="J26" s="8">
        <v>5582.3</v>
      </c>
      <c r="K26" s="32">
        <f t="shared" si="4"/>
        <v>0.21417417693933849</v>
      </c>
      <c r="L26" s="348" t="s">
        <v>647</v>
      </c>
    </row>
    <row r="27" spans="1:12" x14ac:dyDescent="0.15">
      <c r="A27" s="5" t="s">
        <v>171</v>
      </c>
      <c r="B27" s="8">
        <v>13556.1</v>
      </c>
      <c r="C27" s="32">
        <f t="shared" si="0"/>
        <v>0.49599540450256308</v>
      </c>
      <c r="D27" s="8">
        <v>13286.8</v>
      </c>
      <c r="E27" s="32">
        <f t="shared" si="1"/>
        <v>0.48107462254245265</v>
      </c>
      <c r="F27" s="8">
        <v>12800.1</v>
      </c>
      <c r="G27" s="32">
        <f t="shared" si="2"/>
        <v>0.49481798185423859</v>
      </c>
      <c r="H27" s="8">
        <v>12614.6</v>
      </c>
      <c r="I27" s="32">
        <f t="shared" si="3"/>
        <v>0.47827685961380245</v>
      </c>
      <c r="J27" s="8">
        <v>12195.2</v>
      </c>
      <c r="K27" s="32">
        <f t="shared" si="4"/>
        <v>0.4678890282877346</v>
      </c>
    </row>
    <row r="28" spans="1:12" x14ac:dyDescent="0.15">
      <c r="A28" s="5" t="s">
        <v>170</v>
      </c>
      <c r="B28" s="8">
        <v>105.7</v>
      </c>
      <c r="C28" s="32">
        <f t="shared" si="0"/>
        <v>3.8673891647244352E-3</v>
      </c>
      <c r="D28" s="8">
        <v>180.2</v>
      </c>
      <c r="E28" s="32">
        <f t="shared" si="1"/>
        <v>6.5244940077482886E-3</v>
      </c>
      <c r="F28" s="8">
        <v>125.8</v>
      </c>
      <c r="G28" s="32">
        <f t="shared" si="2"/>
        <v>4.8630949849816181E-3</v>
      </c>
      <c r="H28" s="8">
        <v>123.7</v>
      </c>
      <c r="I28" s="32">
        <f t="shared" si="3"/>
        <v>4.6900296112621373E-3</v>
      </c>
      <c r="J28" s="8">
        <v>38.6</v>
      </c>
      <c r="K28" s="32">
        <f t="shared" si="4"/>
        <v>1.4809528742379425E-3</v>
      </c>
    </row>
    <row r="29" spans="1:12" ht="12" x14ac:dyDescent="0.15">
      <c r="A29" s="5" t="s">
        <v>169</v>
      </c>
      <c r="B29" s="8" t="s">
        <v>4</v>
      </c>
      <c r="C29" s="32" t="str">
        <f t="shared" si="0"/>
        <v/>
      </c>
      <c r="D29" s="8" t="s">
        <v>4</v>
      </c>
      <c r="E29" s="32" t="str">
        <f t="shared" si="1"/>
        <v/>
      </c>
      <c r="F29" s="8" t="s">
        <v>4</v>
      </c>
      <c r="G29" s="32" t="str">
        <f t="shared" si="2"/>
        <v/>
      </c>
      <c r="H29" s="8">
        <v>35.700000000000003</v>
      </c>
      <c r="I29" s="32">
        <f t="shared" si="3"/>
        <v>1.3535493704289274E-3</v>
      </c>
      <c r="J29" s="8">
        <v>39.9</v>
      </c>
      <c r="K29" s="32">
        <f t="shared" si="4"/>
        <v>1.530829525442847E-3</v>
      </c>
    </row>
    <row r="30" spans="1:12" x14ac:dyDescent="0.15">
      <c r="A30" s="5" t="s">
        <v>168</v>
      </c>
      <c r="B30" s="8">
        <v>713</v>
      </c>
      <c r="C30" s="32">
        <f t="shared" si="0"/>
        <v>2.6087497393079681E-2</v>
      </c>
      <c r="D30" s="8">
        <v>909.2</v>
      </c>
      <c r="E30" s="32">
        <f t="shared" si="1"/>
        <v>3.2919367102357072E-2</v>
      </c>
      <c r="F30" s="8">
        <v>617</v>
      </c>
      <c r="G30" s="32">
        <f t="shared" si="2"/>
        <v>2.3851586691046572E-2</v>
      </c>
      <c r="H30" s="8">
        <v>517.79999999999995</v>
      </c>
      <c r="I30" s="32">
        <f t="shared" si="3"/>
        <v>1.9632153053448138E-2</v>
      </c>
      <c r="J30" s="8">
        <v>505.3</v>
      </c>
      <c r="K30" s="32">
        <f t="shared" si="4"/>
        <v>1.9386670656798763E-2</v>
      </c>
    </row>
    <row r="31" spans="1:12" ht="48" x14ac:dyDescent="0.15">
      <c r="A31" s="7" t="s">
        <v>167</v>
      </c>
      <c r="B31" s="15">
        <v>27331.1</v>
      </c>
      <c r="C31" s="32">
        <f t="shared" si="0"/>
        <v>1</v>
      </c>
      <c r="D31" s="15">
        <v>27619</v>
      </c>
      <c r="E31" s="32">
        <f t="shared" si="1"/>
        <v>1</v>
      </c>
      <c r="F31" s="15">
        <v>25868.3</v>
      </c>
      <c r="G31" s="32">
        <f t="shared" si="2"/>
        <v>1</v>
      </c>
      <c r="H31" s="15">
        <v>26375.1</v>
      </c>
      <c r="I31" s="32">
        <f t="shared" si="3"/>
        <v>1</v>
      </c>
      <c r="J31" s="15">
        <v>26064.3</v>
      </c>
      <c r="K31" s="32">
        <f t="shared" si="4"/>
        <v>1</v>
      </c>
      <c r="L31" s="348" t="s">
        <v>648</v>
      </c>
    </row>
    <row r="32" spans="1:12" x14ac:dyDescent="0.15">
      <c r="A32" s="7" t="s">
        <v>166</v>
      </c>
      <c r="B32" s="5"/>
      <c r="C32" s="32">
        <f t="shared" si="0"/>
        <v>0</v>
      </c>
      <c r="D32" s="5"/>
      <c r="E32" s="32">
        <f t="shared" si="1"/>
        <v>0</v>
      </c>
      <c r="F32" s="5"/>
      <c r="G32" s="32">
        <f t="shared" si="2"/>
        <v>0</v>
      </c>
      <c r="H32" s="5"/>
      <c r="I32" s="32">
        <f t="shared" si="3"/>
        <v>0</v>
      </c>
      <c r="J32" s="5"/>
      <c r="K32" s="32">
        <f t="shared" si="4"/>
        <v>0</v>
      </c>
    </row>
    <row r="33" spans="1:12" x14ac:dyDescent="0.15">
      <c r="A33" s="5" t="s">
        <v>165</v>
      </c>
      <c r="B33" s="8">
        <v>1732.7</v>
      </c>
      <c r="C33" s="32">
        <f t="shared" si="0"/>
        <v>6.339664338427653E-2</v>
      </c>
      <c r="D33" s="8">
        <v>2098.1</v>
      </c>
      <c r="E33" s="32">
        <f t="shared" si="1"/>
        <v>7.5965820630725225E-2</v>
      </c>
      <c r="F33" s="8">
        <v>2225.1</v>
      </c>
      <c r="G33" s="32">
        <f t="shared" si="2"/>
        <v>8.6016475763772651E-2</v>
      </c>
      <c r="H33" s="8">
        <v>2128.3000000000002</v>
      </c>
      <c r="I33" s="32">
        <f t="shared" si="3"/>
        <v>8.0693532915515023E-2</v>
      </c>
      <c r="J33" s="8">
        <v>2020.1</v>
      </c>
      <c r="K33" s="32">
        <f t="shared" si="4"/>
        <v>7.7504479306944749E-2</v>
      </c>
    </row>
    <row r="34" spans="1:12" x14ac:dyDescent="0.15">
      <c r="A34" s="5" t="s">
        <v>164</v>
      </c>
      <c r="B34" s="8">
        <v>637.5</v>
      </c>
      <c r="C34" s="32">
        <f t="shared" si="0"/>
        <v>2.3325076561133654E-2</v>
      </c>
      <c r="D34" s="8">
        <v>577.70000000000005</v>
      </c>
      <c r="E34" s="32">
        <f t="shared" si="1"/>
        <v>2.0916760201310693E-2</v>
      </c>
      <c r="F34" s="8">
        <v>576.70000000000005</v>
      </c>
      <c r="G34" s="32">
        <f t="shared" si="2"/>
        <v>2.2293695372328295E-2</v>
      </c>
      <c r="H34" s="8">
        <v>823.7</v>
      </c>
      <c r="I34" s="32">
        <f t="shared" si="3"/>
        <v>3.1230213345162676E-2</v>
      </c>
      <c r="J34" s="8">
        <v>735.7</v>
      </c>
      <c r="K34" s="32">
        <f t="shared" si="4"/>
        <v>2.8226347916498817E-2</v>
      </c>
    </row>
    <row r="35" spans="1:12" x14ac:dyDescent="0.15">
      <c r="A35" s="5" t="s">
        <v>163</v>
      </c>
      <c r="B35" s="8">
        <v>14</v>
      </c>
      <c r="C35" s="32">
        <f t="shared" si="0"/>
        <v>5.1223697546019006E-4</v>
      </c>
      <c r="D35" s="8">
        <v>6.9</v>
      </c>
      <c r="E35" s="32">
        <f t="shared" si="1"/>
        <v>2.4982801694485682E-4</v>
      </c>
      <c r="F35" s="8">
        <v>20.9</v>
      </c>
      <c r="G35" s="32">
        <f t="shared" si="2"/>
        <v>8.0793867397548351E-4</v>
      </c>
      <c r="H35" s="8">
        <v>21.5</v>
      </c>
      <c r="I35" s="32">
        <f t="shared" si="3"/>
        <v>8.1516278611265937E-4</v>
      </c>
      <c r="J35" s="8">
        <v>19.899999999999999</v>
      </c>
      <c r="K35" s="32">
        <f t="shared" si="4"/>
        <v>7.6349642998277335E-4</v>
      </c>
    </row>
    <row r="36" spans="1:12" x14ac:dyDescent="0.15">
      <c r="A36" s="5" t="s">
        <v>162</v>
      </c>
      <c r="B36" s="8">
        <v>1049.7</v>
      </c>
      <c r="C36" s="32">
        <f t="shared" si="0"/>
        <v>3.840679665289725E-2</v>
      </c>
      <c r="D36" s="8">
        <v>571.1</v>
      </c>
      <c r="E36" s="32">
        <f t="shared" si="1"/>
        <v>2.067779427205909E-2</v>
      </c>
      <c r="F36" s="8">
        <v>370.9</v>
      </c>
      <c r="G36" s="32">
        <f t="shared" si="2"/>
        <v>1.4338012161603197E-2</v>
      </c>
      <c r="H36" s="8">
        <v>885.1</v>
      </c>
      <c r="I36" s="32">
        <f t="shared" si="3"/>
        <v>3.3558166604107667E-2</v>
      </c>
      <c r="J36" s="8">
        <v>2.4</v>
      </c>
      <c r="K36" s="32">
        <f t="shared" si="4"/>
        <v>9.2079971455208848E-5</v>
      </c>
    </row>
    <row r="37" spans="1:12" x14ac:dyDescent="0.15">
      <c r="A37" s="5" t="s">
        <v>161</v>
      </c>
      <c r="B37" s="8">
        <v>51.2</v>
      </c>
      <c r="C37" s="32">
        <f t="shared" si="0"/>
        <v>1.8733237959686951E-3</v>
      </c>
      <c r="D37" s="8">
        <v>50</v>
      </c>
      <c r="E37" s="32">
        <f t="shared" si="1"/>
        <v>1.8103479488757739E-3</v>
      </c>
      <c r="F37" s="8">
        <v>50</v>
      </c>
      <c r="G37" s="32">
        <f t="shared" si="2"/>
        <v>1.9328676410896735E-3</v>
      </c>
      <c r="H37" s="8">
        <v>52.1</v>
      </c>
      <c r="I37" s="32">
        <f t="shared" si="3"/>
        <v>1.9753479607660259E-3</v>
      </c>
      <c r="J37" s="8">
        <v>56.6</v>
      </c>
      <c r="K37" s="32">
        <f t="shared" si="4"/>
        <v>2.1715526601520088E-3</v>
      </c>
    </row>
    <row r="38" spans="1:12" x14ac:dyDescent="0.15">
      <c r="A38" s="5" t="s">
        <v>160</v>
      </c>
      <c r="B38" s="8">
        <v>424.5</v>
      </c>
      <c r="C38" s="32">
        <f t="shared" si="0"/>
        <v>1.5531756863060762E-2</v>
      </c>
      <c r="D38" s="8">
        <v>318.39999999999998</v>
      </c>
      <c r="E38" s="32">
        <f t="shared" si="1"/>
        <v>1.1528295738440927E-2</v>
      </c>
      <c r="F38" s="8">
        <v>131.80000000000001</v>
      </c>
      <c r="G38" s="32">
        <f t="shared" si="2"/>
        <v>5.0950391019123796E-3</v>
      </c>
      <c r="H38" s="8">
        <v>181.9</v>
      </c>
      <c r="I38" s="32">
        <f t="shared" si="3"/>
        <v>6.8966563159950107E-3</v>
      </c>
      <c r="J38" s="8">
        <v>210.5</v>
      </c>
      <c r="K38" s="32">
        <f t="shared" si="4"/>
        <v>8.0761808297172763E-3</v>
      </c>
    </row>
    <row r="39" spans="1:12" ht="36" x14ac:dyDescent="0.15">
      <c r="A39" s="7" t="s">
        <v>159</v>
      </c>
      <c r="B39" s="16">
        <v>3909.6</v>
      </c>
      <c r="C39" s="32">
        <f t="shared" si="0"/>
        <v>0.14304583423279707</v>
      </c>
      <c r="D39" s="16">
        <v>3622.2</v>
      </c>
      <c r="E39" s="32">
        <f t="shared" si="1"/>
        <v>0.13114884680835656</v>
      </c>
      <c r="F39" s="16">
        <v>3375.4</v>
      </c>
      <c r="G39" s="32">
        <f t="shared" si="2"/>
        <v>0.13048402871468168</v>
      </c>
      <c r="H39" s="16">
        <v>4092.6</v>
      </c>
      <c r="I39" s="32">
        <f t="shared" si="3"/>
        <v>0.15516907992765905</v>
      </c>
      <c r="J39" s="16">
        <v>3045.2</v>
      </c>
      <c r="K39" s="32">
        <f t="shared" si="4"/>
        <v>0.11683413711475082</v>
      </c>
      <c r="L39" s="348" t="s">
        <v>649</v>
      </c>
    </row>
    <row r="40" spans="1:12" x14ac:dyDescent="0.15">
      <c r="A40" s="5" t="s">
        <v>158</v>
      </c>
      <c r="B40" s="8">
        <v>7322.1</v>
      </c>
      <c r="C40" s="32">
        <f t="shared" si="0"/>
        <v>0.26790359700121841</v>
      </c>
      <c r="D40" s="8">
        <v>6687.7</v>
      </c>
      <c r="E40" s="32">
        <f t="shared" si="1"/>
        <v>0.24214127955393025</v>
      </c>
      <c r="F40" s="8">
        <v>6109</v>
      </c>
      <c r="G40" s="32">
        <f t="shared" si="2"/>
        <v>0.2361577683883363</v>
      </c>
      <c r="H40" s="8">
        <v>5263.6</v>
      </c>
      <c r="I40" s="32">
        <f t="shared" si="3"/>
        <v>0.19956701585965553</v>
      </c>
      <c r="J40" s="8">
        <v>6057</v>
      </c>
      <c r="K40" s="32">
        <f t="shared" si="4"/>
        <v>0.23238682796008334</v>
      </c>
    </row>
    <row r="41" spans="1:12" x14ac:dyDescent="0.15">
      <c r="A41" s="5" t="s">
        <v>157</v>
      </c>
      <c r="B41" s="8">
        <v>166.3</v>
      </c>
      <c r="C41" s="32">
        <f t="shared" si="0"/>
        <v>6.0846435013592578E-3</v>
      </c>
      <c r="D41" s="8">
        <v>150.4</v>
      </c>
      <c r="E41" s="32">
        <f t="shared" si="1"/>
        <v>5.4455266302183281E-3</v>
      </c>
      <c r="F41" s="8">
        <v>155.5</v>
      </c>
      <c r="G41" s="32">
        <f t="shared" si="2"/>
        <v>6.0112183637888849E-3</v>
      </c>
      <c r="H41" s="8">
        <v>212.4</v>
      </c>
      <c r="I41" s="32">
        <f t="shared" si="3"/>
        <v>8.0530500358292484E-3</v>
      </c>
      <c r="J41" s="8">
        <v>218.4</v>
      </c>
      <c r="K41" s="32">
        <f t="shared" si="4"/>
        <v>8.3792774024240065E-3</v>
      </c>
    </row>
    <row r="42" spans="1:12" x14ac:dyDescent="0.15">
      <c r="A42" s="5" t="s">
        <v>156</v>
      </c>
      <c r="B42" s="8">
        <v>763.2</v>
      </c>
      <c r="C42" s="32">
        <f t="shared" si="0"/>
        <v>2.7924232833658361E-2</v>
      </c>
      <c r="D42" s="8">
        <v>654.4</v>
      </c>
      <c r="E42" s="32">
        <f t="shared" si="1"/>
        <v>2.3693833954886129E-2</v>
      </c>
      <c r="F42" s="8">
        <v>473.3</v>
      </c>
      <c r="G42" s="32">
        <f t="shared" si="2"/>
        <v>1.8296525090554849E-2</v>
      </c>
      <c r="H42" s="8">
        <v>465.8</v>
      </c>
      <c r="I42" s="32">
        <f t="shared" si="3"/>
        <v>1.7660596547501243E-2</v>
      </c>
      <c r="J42" s="8">
        <v>416.7</v>
      </c>
      <c r="K42" s="32">
        <f t="shared" si="4"/>
        <v>1.5987385043910635E-2</v>
      </c>
    </row>
    <row r="43" spans="1:12" x14ac:dyDescent="0.15">
      <c r="A43" s="5" t="s">
        <v>155</v>
      </c>
      <c r="B43" s="8">
        <v>2381.6</v>
      </c>
      <c r="C43" s="32">
        <f t="shared" si="0"/>
        <v>8.7138827196856325E-2</v>
      </c>
      <c r="D43" s="8">
        <v>2704.6</v>
      </c>
      <c r="E43" s="32">
        <f t="shared" si="1"/>
        <v>9.7925341250588355E-2</v>
      </c>
      <c r="F43" s="8">
        <v>2646.4</v>
      </c>
      <c r="G43" s="32">
        <f t="shared" si="2"/>
        <v>0.10230281850759425</v>
      </c>
      <c r="H43" s="8">
        <v>2697.2</v>
      </c>
      <c r="I43" s="32">
        <f t="shared" si="3"/>
        <v>0.10226311938153788</v>
      </c>
      <c r="J43" s="8">
        <v>2733.4</v>
      </c>
      <c r="K43" s="32">
        <f t="shared" si="4"/>
        <v>0.10487141415652829</v>
      </c>
    </row>
    <row r="44" spans="1:12" x14ac:dyDescent="0.15">
      <c r="A44" s="5" t="s">
        <v>154</v>
      </c>
      <c r="B44" s="8">
        <v>167</v>
      </c>
      <c r="C44" s="32">
        <f t="shared" si="0"/>
        <v>6.1102553501322671E-3</v>
      </c>
      <c r="D44" s="8">
        <v>135.6</v>
      </c>
      <c r="E44" s="32">
        <f t="shared" si="1"/>
        <v>4.9096636373510989E-3</v>
      </c>
      <c r="F44" s="8">
        <v>193.5</v>
      </c>
      <c r="G44" s="32">
        <f t="shared" si="2"/>
        <v>7.4801977710170367E-3</v>
      </c>
      <c r="H44" s="8">
        <v>208.4</v>
      </c>
      <c r="I44" s="32">
        <f t="shared" si="3"/>
        <v>7.9013918430641036E-3</v>
      </c>
      <c r="J44" s="8">
        <v>140.9</v>
      </c>
      <c r="K44" s="32">
        <f t="shared" si="4"/>
        <v>5.4058616575162199E-3</v>
      </c>
    </row>
    <row r="45" spans="1:12" ht="24" x14ac:dyDescent="0.15">
      <c r="A45" s="7" t="s">
        <v>153</v>
      </c>
      <c r="B45" s="16">
        <v>14709.8</v>
      </c>
      <c r="C45" s="32">
        <f t="shared" si="0"/>
        <v>0.5382073901160217</v>
      </c>
      <c r="D45" s="16">
        <v>13954.9</v>
      </c>
      <c r="E45" s="32">
        <f t="shared" si="1"/>
        <v>0.50526449183533073</v>
      </c>
      <c r="F45" s="16">
        <v>12953.1</v>
      </c>
      <c r="G45" s="32">
        <f t="shared" si="2"/>
        <v>0.50073255683597306</v>
      </c>
      <c r="H45" s="16">
        <v>12940</v>
      </c>
      <c r="I45" s="32">
        <f t="shared" si="3"/>
        <v>0.49061425359524707</v>
      </c>
      <c r="J45" s="16">
        <v>12611.6</v>
      </c>
      <c r="K45" s="32">
        <f t="shared" si="4"/>
        <v>0.48386490333521331</v>
      </c>
      <c r="L45" s="348" t="s">
        <v>650</v>
      </c>
    </row>
    <row r="46" spans="1:12" x14ac:dyDescent="0.15">
      <c r="A46" s="5" t="s">
        <v>152</v>
      </c>
      <c r="B46" s="8">
        <v>522.20000000000005</v>
      </c>
      <c r="C46" s="32">
        <f t="shared" si="0"/>
        <v>1.9106439184665092E-2</v>
      </c>
      <c r="D46" s="8">
        <v>522.1</v>
      </c>
      <c r="E46" s="32">
        <f t="shared" si="1"/>
        <v>1.8903653282160832E-2</v>
      </c>
      <c r="F46" s="8">
        <v>517.6</v>
      </c>
      <c r="G46" s="32">
        <f t="shared" si="2"/>
        <v>2.00090458205603E-2</v>
      </c>
      <c r="H46" s="8">
        <v>455.2</v>
      </c>
      <c r="I46" s="32">
        <f t="shared" si="3"/>
        <v>1.7258702336673606E-2</v>
      </c>
      <c r="J46" s="8">
        <v>374</v>
      </c>
      <c r="K46" s="32">
        <f t="shared" si="4"/>
        <v>1.4349128885103379E-2</v>
      </c>
    </row>
    <row r="47" spans="1:12" x14ac:dyDescent="0.15">
      <c r="A47" s="5" t="s">
        <v>151</v>
      </c>
      <c r="B47" s="8">
        <v>6937.8</v>
      </c>
      <c r="C47" s="32">
        <f t="shared" si="0"/>
        <v>0.25384269202483617</v>
      </c>
      <c r="D47" s="8">
        <v>6970.9</v>
      </c>
      <c r="E47" s="32">
        <f t="shared" si="1"/>
        <v>0.25239509033636265</v>
      </c>
      <c r="F47" s="8">
        <v>7006.4</v>
      </c>
      <c r="G47" s="32">
        <f t="shared" si="2"/>
        <v>0.27084887681061376</v>
      </c>
      <c r="H47" s="8">
        <v>7108.4</v>
      </c>
      <c r="I47" s="32">
        <f t="shared" si="3"/>
        <v>0.26951177436294083</v>
      </c>
      <c r="J47" s="8">
        <v>7223.6</v>
      </c>
      <c r="K47" s="32">
        <f t="shared" si="4"/>
        <v>0.27714536741826945</v>
      </c>
    </row>
    <row r="48" spans="1:12" x14ac:dyDescent="0.15">
      <c r="A48" s="5" t="s">
        <v>150</v>
      </c>
      <c r="B48" s="8">
        <v>6544.2</v>
      </c>
      <c r="C48" s="32">
        <f t="shared" si="0"/>
        <v>0.23944151534332683</v>
      </c>
      <c r="D48" s="8">
        <v>7401.5</v>
      </c>
      <c r="E48" s="32">
        <f t="shared" si="1"/>
        <v>0.26798580687208079</v>
      </c>
      <c r="F48" s="8">
        <v>6894.1</v>
      </c>
      <c r="G48" s="32">
        <f t="shared" si="2"/>
        <v>0.2665076560887264</v>
      </c>
      <c r="H48" s="8">
        <v>7484.3</v>
      </c>
      <c r="I48" s="32">
        <f t="shared" si="3"/>
        <v>0.28376385302804541</v>
      </c>
      <c r="J48" s="8">
        <v>8238</v>
      </c>
      <c r="K48" s="32">
        <f t="shared" si="4"/>
        <v>0.31606450202000436</v>
      </c>
    </row>
    <row r="49" spans="1:12" ht="36" x14ac:dyDescent="0.15">
      <c r="A49" s="5" t="s">
        <v>149</v>
      </c>
      <c r="B49" s="8">
        <v>-471.4</v>
      </c>
      <c r="C49" s="32">
        <f t="shared" si="0"/>
        <v>-1.7247750730852399E-2</v>
      </c>
      <c r="D49" s="8">
        <v>-471.4</v>
      </c>
      <c r="E49" s="32">
        <f t="shared" si="1"/>
        <v>-1.7067960462000795E-2</v>
      </c>
      <c r="F49" s="8">
        <v>-522.9</v>
      </c>
      <c r="G49" s="32">
        <f t="shared" si="2"/>
        <v>-2.0213929790515804E-2</v>
      </c>
      <c r="H49" s="8">
        <v>-735.6</v>
      </c>
      <c r="I49" s="32">
        <f t="shared" si="3"/>
        <v>-2.7889941649510336E-2</v>
      </c>
      <c r="J49" s="8">
        <v>-1380.8</v>
      </c>
      <c r="K49" s="32">
        <f t="shared" si="4"/>
        <v>-5.2976676910563493E-2</v>
      </c>
      <c r="L49" s="348" t="s">
        <v>651</v>
      </c>
    </row>
    <row r="50" spans="1:12" x14ac:dyDescent="0.15">
      <c r="A50" s="5" t="s">
        <v>148</v>
      </c>
      <c r="B50" s="8">
        <v>-1167.8</v>
      </c>
      <c r="C50" s="32">
        <f t="shared" si="0"/>
        <v>-4.2727881424457853E-2</v>
      </c>
      <c r="D50" s="8">
        <v>-1006</v>
      </c>
      <c r="E50" s="32">
        <f t="shared" si="1"/>
        <v>-3.6424200731380571E-2</v>
      </c>
      <c r="F50" s="8">
        <v>-1205.5</v>
      </c>
      <c r="G50" s="32">
        <f t="shared" si="2"/>
        <v>-4.6601438826672031E-2</v>
      </c>
      <c r="H50" s="8">
        <v>-1116.3</v>
      </c>
      <c r="I50" s="32">
        <f t="shared" si="3"/>
        <v>-4.2324010145933094E-2</v>
      </c>
      <c r="J50" s="8">
        <v>-1362.4</v>
      </c>
      <c r="K50" s="32">
        <f t="shared" si="4"/>
        <v>-5.2270730462740229E-2</v>
      </c>
    </row>
    <row r="51" spans="1:12" x14ac:dyDescent="0.15">
      <c r="A51" s="7" t="s">
        <v>147</v>
      </c>
      <c r="B51" s="16">
        <v>12365</v>
      </c>
      <c r="C51" s="32">
        <f t="shared" si="0"/>
        <v>0.45241501439751786</v>
      </c>
      <c r="D51" s="16">
        <v>13417.1</v>
      </c>
      <c r="E51" s="32">
        <f t="shared" si="1"/>
        <v>0.48579238929722296</v>
      </c>
      <c r="F51" s="16">
        <v>12689.7</v>
      </c>
      <c r="G51" s="32">
        <f t="shared" si="2"/>
        <v>0.4905502101027126</v>
      </c>
      <c r="H51" s="16">
        <v>13196</v>
      </c>
      <c r="I51" s="32">
        <f t="shared" si="3"/>
        <v>0.5003203779322164</v>
      </c>
      <c r="J51" s="16">
        <v>13092.4</v>
      </c>
      <c r="K51" s="32">
        <f t="shared" si="4"/>
        <v>0.50231159095007349</v>
      </c>
    </row>
    <row r="52" spans="1:12" x14ac:dyDescent="0.15">
      <c r="A52" s="5" t="s">
        <v>146</v>
      </c>
      <c r="B52" s="8">
        <v>256.3</v>
      </c>
      <c r="C52" s="32">
        <f t="shared" si="0"/>
        <v>9.3775954864604803E-3</v>
      </c>
      <c r="D52" s="8">
        <v>247</v>
      </c>
      <c r="E52" s="32">
        <f t="shared" si="1"/>
        <v>8.943118867446323E-3</v>
      </c>
      <c r="F52" s="8">
        <v>225.5</v>
      </c>
      <c r="G52" s="32">
        <f t="shared" si="2"/>
        <v>8.7172330613144271E-3</v>
      </c>
      <c r="H52" s="8">
        <v>239.1</v>
      </c>
      <c r="I52" s="32">
        <f t="shared" si="3"/>
        <v>9.0653684725365974E-3</v>
      </c>
      <c r="J52" s="8">
        <v>360.3</v>
      </c>
      <c r="K52" s="32">
        <f t="shared" si="4"/>
        <v>1.3823505714713229E-2</v>
      </c>
    </row>
    <row r="53" spans="1:12" ht="36" x14ac:dyDescent="0.15">
      <c r="A53" s="7" t="s">
        <v>145</v>
      </c>
      <c r="B53" s="26">
        <v>12621.3</v>
      </c>
      <c r="C53" s="32">
        <f t="shared" si="0"/>
        <v>0.4617926098839783</v>
      </c>
      <c r="D53" s="26">
        <v>13664.1</v>
      </c>
      <c r="E53" s="32">
        <f t="shared" si="1"/>
        <v>0.49473550816466927</v>
      </c>
      <c r="F53" s="26">
        <v>12915.2</v>
      </c>
      <c r="G53" s="32">
        <f t="shared" si="2"/>
        <v>0.49926744316402705</v>
      </c>
      <c r="H53" s="26">
        <v>13435.1</v>
      </c>
      <c r="I53" s="32">
        <f t="shared" si="3"/>
        <v>0.50938574640475298</v>
      </c>
      <c r="J53" s="26">
        <v>13452.7</v>
      </c>
      <c r="K53" s="32">
        <f t="shared" si="4"/>
        <v>0.51613509666478674</v>
      </c>
      <c r="L53" s="348" t="s">
        <v>652</v>
      </c>
    </row>
    <row r="54" spans="1:12" x14ac:dyDescent="0.15">
      <c r="A54" s="7" t="s">
        <v>144</v>
      </c>
      <c r="B54" s="25">
        <v>27331.1</v>
      </c>
      <c r="C54" s="32">
        <f t="shared" si="0"/>
        <v>1</v>
      </c>
      <c r="D54" s="25">
        <v>27619</v>
      </c>
      <c r="E54" s="32">
        <f t="shared" si="1"/>
        <v>1</v>
      </c>
      <c r="F54" s="25">
        <v>25868.3</v>
      </c>
      <c r="G54" s="32">
        <f t="shared" si="2"/>
        <v>1</v>
      </c>
      <c r="H54" s="25">
        <v>26375.1</v>
      </c>
      <c r="I54" s="32">
        <f t="shared" si="3"/>
        <v>1</v>
      </c>
      <c r="J54" s="25">
        <v>26064.3</v>
      </c>
      <c r="K54" s="32">
        <f t="shared" si="4"/>
        <v>1</v>
      </c>
    </row>
    <row r="55" spans="1:12" x14ac:dyDescent="0.15">
      <c r="A55" s="5"/>
      <c r="B55" s="5"/>
      <c r="C55" s="5"/>
      <c r="D55" s="5"/>
      <c r="E55" s="5"/>
      <c r="F55" s="5"/>
      <c r="G55" s="5"/>
      <c r="H55" s="5"/>
      <c r="I55" s="5"/>
      <c r="J55" s="5"/>
    </row>
    <row r="56" spans="1:12" x14ac:dyDescent="0.15">
      <c r="A56" s="7" t="s">
        <v>37</v>
      </c>
      <c r="B56" s="5"/>
      <c r="C56" s="5"/>
      <c r="D56" s="5"/>
      <c r="E56" s="5"/>
      <c r="F56" s="5"/>
      <c r="G56" s="5"/>
      <c r="H56" s="5"/>
      <c r="I56" s="5"/>
      <c r="J56" s="5"/>
    </row>
    <row r="57" spans="1:12" x14ac:dyDescent="0.15">
      <c r="A57" s="5" t="s">
        <v>143</v>
      </c>
      <c r="B57" s="8">
        <v>216.78052199999999</v>
      </c>
      <c r="C57" s="8"/>
      <c r="D57" s="8">
        <v>216.98340400000001</v>
      </c>
      <c r="E57" s="8"/>
      <c r="F57" s="8">
        <v>216.291065</v>
      </c>
      <c r="G57" s="8"/>
      <c r="H57" s="8">
        <v>212.60684800000001</v>
      </c>
      <c r="I57" s="8"/>
      <c r="J57" s="8">
        <v>202.60592</v>
      </c>
    </row>
    <row r="58" spans="1:12" x14ac:dyDescent="0.15">
      <c r="A58" s="5" t="s">
        <v>142</v>
      </c>
      <c r="B58" s="8">
        <v>216.7</v>
      </c>
      <c r="C58" s="8"/>
      <c r="D58" s="8">
        <v>217</v>
      </c>
      <c r="E58" s="8"/>
      <c r="F58" s="8">
        <v>216.3</v>
      </c>
      <c r="G58" s="8"/>
      <c r="H58" s="8">
        <v>213.3</v>
      </c>
      <c r="I58" s="8"/>
      <c r="J58" s="8">
        <v>203.2</v>
      </c>
    </row>
    <row r="59" spans="1:12" x14ac:dyDescent="0.15">
      <c r="A59" s="5" t="s">
        <v>141</v>
      </c>
      <c r="B59" s="13">
        <v>57.06</v>
      </c>
      <c r="C59" s="13"/>
      <c r="D59" s="13">
        <v>61.83</v>
      </c>
      <c r="E59" s="13"/>
      <c r="F59" s="13">
        <v>58.67</v>
      </c>
      <c r="G59" s="13"/>
      <c r="H59" s="13">
        <v>61.87</v>
      </c>
      <c r="I59" s="13"/>
      <c r="J59" s="13">
        <v>64.430000000000007</v>
      </c>
    </row>
    <row r="60" spans="1:12" x14ac:dyDescent="0.15">
      <c r="A60" s="5" t="s">
        <v>140</v>
      </c>
      <c r="B60" s="8">
        <v>-7342.1</v>
      </c>
      <c r="C60" s="8"/>
      <c r="D60" s="8">
        <v>-6022.3</v>
      </c>
      <c r="E60" s="8"/>
      <c r="F60" s="8">
        <v>-5402.3</v>
      </c>
      <c r="G60" s="8"/>
      <c r="H60" s="8">
        <v>-4743.8999999999996</v>
      </c>
      <c r="I60" s="8"/>
      <c r="J60" s="8">
        <v>-4685.1000000000004</v>
      </c>
    </row>
    <row r="61" spans="1:12" x14ac:dyDescent="0.15">
      <c r="A61" s="5" t="s">
        <v>139</v>
      </c>
      <c r="B61" s="13">
        <v>-33.880000000000003</v>
      </c>
      <c r="C61" s="13"/>
      <c r="D61" s="13">
        <v>-27.75</v>
      </c>
      <c r="E61" s="13"/>
      <c r="F61" s="13">
        <v>-24.98</v>
      </c>
      <c r="G61" s="13"/>
      <c r="H61" s="13">
        <v>-22.24</v>
      </c>
      <c r="I61" s="13"/>
      <c r="J61" s="13">
        <v>-23.06</v>
      </c>
    </row>
    <row r="62" spans="1:12" x14ac:dyDescent="0.15">
      <c r="A62" s="5" t="s">
        <v>138</v>
      </c>
      <c r="B62" s="8">
        <v>8603.2999999999993</v>
      </c>
      <c r="C62" s="8"/>
      <c r="D62" s="8">
        <v>7466.1</v>
      </c>
      <c r="E62" s="8"/>
      <c r="F62" s="8">
        <v>6706.3</v>
      </c>
      <c r="G62" s="8"/>
      <c r="H62" s="8">
        <v>6434.7</v>
      </c>
      <c r="I62" s="8"/>
      <c r="J62" s="8">
        <v>6354.3</v>
      </c>
    </row>
    <row r="63" spans="1:12" x14ac:dyDescent="0.15">
      <c r="A63" s="5" t="s">
        <v>137</v>
      </c>
      <c r="B63" s="8">
        <v>7833.2</v>
      </c>
      <c r="C63" s="8"/>
      <c r="D63" s="8">
        <v>6828.7</v>
      </c>
      <c r="E63" s="8"/>
      <c r="F63" s="8">
        <v>6106.3</v>
      </c>
      <c r="G63" s="8"/>
      <c r="H63" s="8">
        <v>5565.8</v>
      </c>
      <c r="I63" s="8"/>
      <c r="J63" s="8">
        <v>5385</v>
      </c>
    </row>
    <row r="64" spans="1:12" x14ac:dyDescent="0.15">
      <c r="A64" s="5" t="s">
        <v>136</v>
      </c>
      <c r="B64" s="8">
        <v>-386.9</v>
      </c>
      <c r="C64" s="8"/>
      <c r="D64" s="8">
        <v>-571.70000000000005</v>
      </c>
      <c r="E64" s="8"/>
      <c r="F64" s="8">
        <v>-358.8</v>
      </c>
      <c r="G64" s="8"/>
      <c r="H64" s="8">
        <v>-378.8</v>
      </c>
      <c r="I64" s="8"/>
      <c r="J64" s="8">
        <v>-366.9</v>
      </c>
    </row>
    <row r="65" spans="1:10" x14ac:dyDescent="0.15">
      <c r="A65" s="5" t="s">
        <v>135</v>
      </c>
      <c r="B65" s="8">
        <v>571.20000000000005</v>
      </c>
      <c r="C65" s="8"/>
      <c r="D65" s="8">
        <v>585.6</v>
      </c>
      <c r="E65" s="8"/>
      <c r="F65" s="8">
        <v>580</v>
      </c>
      <c r="G65" s="8"/>
      <c r="H65" s="8">
        <v>650.4</v>
      </c>
      <c r="I65" s="8"/>
      <c r="J65" s="8">
        <v>695.2</v>
      </c>
    </row>
    <row r="66" spans="1:10" x14ac:dyDescent="0.15">
      <c r="A66" s="5" t="s">
        <v>134</v>
      </c>
      <c r="B66" s="8">
        <v>256.3</v>
      </c>
      <c r="C66" s="8"/>
      <c r="D66" s="8">
        <v>247</v>
      </c>
      <c r="E66" s="8"/>
      <c r="F66" s="8">
        <v>225.5</v>
      </c>
      <c r="G66" s="8"/>
      <c r="H66" s="8">
        <v>239.1</v>
      </c>
      <c r="I66" s="8"/>
      <c r="J66" s="8">
        <v>360.3</v>
      </c>
    </row>
    <row r="67" spans="1:10" ht="12" x14ac:dyDescent="0.15">
      <c r="A67" s="5" t="s">
        <v>133</v>
      </c>
      <c r="B67" s="8" t="s">
        <v>9</v>
      </c>
      <c r="C67" s="8"/>
      <c r="D67" s="8" t="s">
        <v>9</v>
      </c>
      <c r="E67" s="8"/>
      <c r="F67" s="8" t="s">
        <v>9</v>
      </c>
      <c r="G67" s="8"/>
      <c r="H67" s="8">
        <v>222.7</v>
      </c>
      <c r="I67" s="8"/>
      <c r="J67" s="8">
        <v>108.9</v>
      </c>
    </row>
    <row r="68" spans="1:10" ht="12" x14ac:dyDescent="0.15">
      <c r="A68" s="5" t="s">
        <v>132</v>
      </c>
      <c r="B68" s="9" t="s">
        <v>131</v>
      </c>
      <c r="C68" s="9"/>
      <c r="D68" s="9" t="s">
        <v>131</v>
      </c>
      <c r="E68" s="9"/>
      <c r="F68" s="9" t="s">
        <v>131</v>
      </c>
      <c r="G68" s="9"/>
      <c r="H68" s="9" t="s">
        <v>131</v>
      </c>
      <c r="I68" s="9"/>
      <c r="J68" s="9" t="s">
        <v>131</v>
      </c>
    </row>
    <row r="69" spans="1:10" x14ac:dyDescent="0.15">
      <c r="A69" s="5" t="s">
        <v>130</v>
      </c>
      <c r="B69" s="8">
        <v>324.89999999999998</v>
      </c>
      <c r="C69" s="8"/>
      <c r="D69" s="8">
        <v>381.4</v>
      </c>
      <c r="E69" s="8"/>
      <c r="F69" s="8">
        <v>451.9</v>
      </c>
      <c r="G69" s="8"/>
      <c r="H69" s="8">
        <v>459.2</v>
      </c>
      <c r="I69" s="8"/>
      <c r="J69" s="8">
        <v>398.2</v>
      </c>
    </row>
    <row r="70" spans="1:10" x14ac:dyDescent="0.15">
      <c r="A70" s="5" t="s">
        <v>129</v>
      </c>
      <c r="B70" s="8">
        <v>72.7</v>
      </c>
      <c r="C70" s="8"/>
      <c r="D70" s="8">
        <v>71.8</v>
      </c>
      <c r="E70" s="8"/>
      <c r="F70" s="8">
        <v>71.900000000000006</v>
      </c>
      <c r="G70" s="8"/>
      <c r="H70" s="8">
        <v>97.4</v>
      </c>
      <c r="I70" s="8"/>
      <c r="J70" s="8">
        <v>83.8</v>
      </c>
    </row>
    <row r="71" spans="1:10" x14ac:dyDescent="0.15">
      <c r="A71" s="5" t="s">
        <v>128</v>
      </c>
      <c r="B71" s="8">
        <v>266.7</v>
      </c>
      <c r="C71" s="8"/>
      <c r="D71" s="8">
        <v>351.5</v>
      </c>
      <c r="E71" s="8"/>
      <c r="F71" s="8">
        <v>269.10000000000002</v>
      </c>
      <c r="G71" s="8"/>
      <c r="H71" s="8">
        <v>245.7</v>
      </c>
      <c r="I71" s="8"/>
      <c r="J71" s="8">
        <v>245.8</v>
      </c>
    </row>
    <row r="72" spans="1:10" x14ac:dyDescent="0.15">
      <c r="A72" s="5" t="s">
        <v>127</v>
      </c>
      <c r="B72" s="8">
        <v>341.3</v>
      </c>
      <c r="C72" s="8"/>
      <c r="D72" s="8">
        <v>355.9</v>
      </c>
      <c r="E72" s="8"/>
      <c r="F72" s="8">
        <v>355.9</v>
      </c>
      <c r="G72" s="8"/>
      <c r="H72" s="8">
        <v>365.1</v>
      </c>
      <c r="I72" s="8"/>
      <c r="J72" s="8">
        <v>362.9</v>
      </c>
    </row>
    <row r="73" spans="1:10" x14ac:dyDescent="0.15">
      <c r="A73" s="5" t="s">
        <v>126</v>
      </c>
      <c r="B73" s="8">
        <v>1074.8</v>
      </c>
      <c r="C73" s="8"/>
      <c r="D73" s="8">
        <v>1225.0999999999999</v>
      </c>
      <c r="E73" s="8"/>
      <c r="F73" s="8">
        <v>1205.5</v>
      </c>
      <c r="G73" s="8"/>
      <c r="H73" s="8">
        <v>1283.4000000000001</v>
      </c>
      <c r="I73" s="8"/>
      <c r="J73" s="8">
        <v>1450.2</v>
      </c>
    </row>
    <row r="74" spans="1:10" x14ac:dyDescent="0.15">
      <c r="A74" s="5" t="s">
        <v>125</v>
      </c>
      <c r="B74" s="8">
        <v>4833.6000000000004</v>
      </c>
      <c r="C74" s="8"/>
      <c r="D74" s="8">
        <v>4858.5</v>
      </c>
      <c r="E74" s="8"/>
      <c r="F74" s="8">
        <v>4897.3</v>
      </c>
      <c r="G74" s="8"/>
      <c r="H74" s="8">
        <v>5156</v>
      </c>
      <c r="I74" s="8"/>
      <c r="J74" s="8">
        <v>5479.8</v>
      </c>
    </row>
    <row r="75" spans="1:10" x14ac:dyDescent="0.15">
      <c r="A75" s="5" t="s">
        <v>124</v>
      </c>
      <c r="B75" s="8">
        <v>532.1</v>
      </c>
      <c r="C75" s="8"/>
      <c r="D75" s="8">
        <v>335.2</v>
      </c>
      <c r="E75" s="8"/>
      <c r="F75" s="8">
        <v>497.4</v>
      </c>
      <c r="G75" s="8"/>
      <c r="H75" s="8">
        <v>783.7</v>
      </c>
      <c r="I75" s="8"/>
      <c r="J75" s="8">
        <v>612.1</v>
      </c>
    </row>
    <row r="76" spans="1:10" ht="12" x14ac:dyDescent="0.15">
      <c r="A76" s="5" t="s">
        <v>123</v>
      </c>
      <c r="B76" s="8">
        <v>3.8</v>
      </c>
      <c r="C76" s="8"/>
      <c r="D76" s="8" t="s">
        <v>4</v>
      </c>
      <c r="E76" s="8"/>
      <c r="F76" s="8" t="s">
        <v>4</v>
      </c>
      <c r="G76" s="8"/>
      <c r="H76" s="8" t="s">
        <v>4</v>
      </c>
      <c r="I76" s="8"/>
      <c r="J76" s="8" t="s">
        <v>4</v>
      </c>
    </row>
    <row r="77" spans="1:10" x14ac:dyDescent="0.15">
      <c r="A77" s="5" t="s">
        <v>122</v>
      </c>
      <c r="B77" s="24">
        <v>17000</v>
      </c>
      <c r="C77" s="24"/>
      <c r="D77" s="24">
        <v>16300</v>
      </c>
      <c r="E77" s="24"/>
      <c r="F77" s="24">
        <v>16600</v>
      </c>
      <c r="G77" s="24"/>
      <c r="H77" s="24">
        <v>16500</v>
      </c>
      <c r="I77" s="24"/>
      <c r="J77" s="24">
        <v>16800</v>
      </c>
    </row>
    <row r="78" spans="1:10" x14ac:dyDescent="0.15">
      <c r="A78" s="5" t="s">
        <v>121</v>
      </c>
      <c r="B78" s="8">
        <v>18.100000000000001</v>
      </c>
      <c r="C78" s="8"/>
      <c r="D78" s="8">
        <v>19</v>
      </c>
      <c r="E78" s="8"/>
      <c r="F78" s="8">
        <v>13.2</v>
      </c>
      <c r="G78" s="8"/>
      <c r="H78" s="8">
        <v>12.7</v>
      </c>
      <c r="I78" s="8"/>
      <c r="J78" s="8">
        <v>8.9</v>
      </c>
    </row>
    <row r="79" spans="1:10" x14ac:dyDescent="0.15">
      <c r="A79" s="5" t="s">
        <v>20</v>
      </c>
      <c r="B79" s="10">
        <v>44978</v>
      </c>
      <c r="C79" s="10"/>
      <c r="D79" s="10">
        <v>45342</v>
      </c>
      <c r="E79" s="10"/>
      <c r="F79" s="10">
        <v>45706</v>
      </c>
      <c r="G79" s="10"/>
      <c r="H79" s="10">
        <v>45706</v>
      </c>
      <c r="I79" s="10"/>
      <c r="J79" s="10">
        <v>45706</v>
      </c>
    </row>
    <row r="80" spans="1:10" ht="12" x14ac:dyDescent="0.15">
      <c r="A80" s="5" t="s">
        <v>19</v>
      </c>
      <c r="B80" s="9" t="s">
        <v>17</v>
      </c>
      <c r="C80" s="9"/>
      <c r="D80" s="9" t="s">
        <v>17</v>
      </c>
      <c r="E80" s="9"/>
      <c r="F80" s="9" t="s">
        <v>17</v>
      </c>
      <c r="G80" s="9"/>
      <c r="H80" s="9" t="s">
        <v>17</v>
      </c>
      <c r="I80" s="9"/>
      <c r="J80" s="9" t="s">
        <v>16</v>
      </c>
    </row>
    <row r="81" spans="1:10" ht="12" x14ac:dyDescent="0.15">
      <c r="A81" s="5" t="s">
        <v>15</v>
      </c>
      <c r="B81" s="9" t="s">
        <v>120</v>
      </c>
      <c r="C81" s="9"/>
      <c r="D81" s="9" t="s">
        <v>120</v>
      </c>
      <c r="E81" s="9"/>
      <c r="F81" s="9" t="s">
        <v>120</v>
      </c>
      <c r="G81" s="9"/>
      <c r="H81" s="9" t="s">
        <v>14</v>
      </c>
      <c r="I81" s="9"/>
      <c r="J81" s="9" t="s">
        <v>14</v>
      </c>
    </row>
    <row r="82" spans="1:10" x14ac:dyDescent="0.15">
      <c r="A82" s="5"/>
      <c r="B82" s="5"/>
      <c r="C82" s="5"/>
      <c r="D82" s="5"/>
      <c r="E82" s="5"/>
      <c r="F82" s="5"/>
      <c r="G82" s="5"/>
      <c r="H82" s="5"/>
      <c r="I82" s="5"/>
      <c r="J82" s="5"/>
    </row>
    <row r="83" spans="1:10" x14ac:dyDescent="0.15">
      <c r="A83" s="3"/>
      <c r="B83" s="3"/>
      <c r="C83" s="3"/>
      <c r="D83" s="3"/>
      <c r="E83" s="3"/>
      <c r="F83" s="3"/>
      <c r="G83" s="3"/>
      <c r="H83" s="3"/>
      <c r="I83" s="3"/>
      <c r="J83" s="3"/>
    </row>
    <row r="84" spans="1:10" x14ac:dyDescent="0.15">
      <c r="A84" s="1" t="s">
        <v>119</v>
      </c>
    </row>
    <row r="85" spans="1:10" x14ac:dyDescent="0.15">
      <c r="A85" s="2" t="s">
        <v>0</v>
      </c>
    </row>
  </sheetData>
  <mergeCells count="2">
    <mergeCell ref="L11:L12"/>
    <mergeCell ref="L18:L19"/>
  </mergeCells>
  <pageMargins left="0.2" right="0.2" top="0.5" bottom="0.5" header="0.5" footer="0.5"/>
  <pageSetup fitToWidth="0" fitToHeight="0" orientation="landscape" horizontalDpi="0" verticalDpi="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CADCD-62A4-4048-A2B8-F73A8A04545C}">
  <sheetPr codeName="Sheet6">
    <outlinePr summaryBelow="0" summaryRight="0"/>
    <pageSetUpPr autoPageBreaks="0"/>
  </sheetPr>
  <dimension ref="A5:IU161"/>
  <sheetViews>
    <sheetView zoomScale="200" workbookViewId="0">
      <selection activeCell="B15" sqref="B15"/>
    </sheetView>
  </sheetViews>
  <sheetFormatPr baseColWidth="10" defaultColWidth="10.83203125" defaultRowHeight="11" x14ac:dyDescent="0.15"/>
  <cols>
    <col min="1" max="1" width="45.83203125" style="1" customWidth="1"/>
    <col min="2" max="6" width="14.83203125" style="1" customWidth="1"/>
    <col min="7" max="256" width="8.83203125" style="1" customWidth="1"/>
    <col min="257" max="16384" width="10.83203125" style="1"/>
  </cols>
  <sheetData>
    <row r="5" spans="1:255" ht="17" x14ac:dyDescent="0.2">
      <c r="A5" s="23" t="s">
        <v>265</v>
      </c>
    </row>
    <row r="7" spans="1:255" x14ac:dyDescent="0.15">
      <c r="A7" s="5"/>
      <c r="B7" s="20" t="s">
        <v>114</v>
      </c>
      <c r="C7" s="1" t="s">
        <v>113</v>
      </c>
      <c r="D7" s="5" t="s">
        <v>98</v>
      </c>
      <c r="E7" s="20" t="s">
        <v>112</v>
      </c>
      <c r="F7" s="1" t="s">
        <v>111</v>
      </c>
    </row>
    <row r="8" spans="1:255" x14ac:dyDescent="0.15">
      <c r="A8" s="5"/>
      <c r="B8" s="20" t="s">
        <v>110</v>
      </c>
      <c r="C8" s="1" t="s">
        <v>109</v>
      </c>
      <c r="D8" s="5" t="s">
        <v>98</v>
      </c>
      <c r="E8" s="20" t="s">
        <v>102</v>
      </c>
      <c r="F8" s="21" t="s">
        <v>101</v>
      </c>
    </row>
    <row r="9" spans="1:255" x14ac:dyDescent="0.15">
      <c r="A9" s="5"/>
      <c r="B9" s="20" t="s">
        <v>100</v>
      </c>
      <c r="C9" s="1" t="s">
        <v>99</v>
      </c>
      <c r="D9" s="5" t="s">
        <v>98</v>
      </c>
      <c r="E9" s="19"/>
      <c r="F9" s="19"/>
    </row>
    <row r="12" spans="1:255" x14ac:dyDescent="0.15">
      <c r="A12" s="18" t="s">
        <v>261</v>
      </c>
      <c r="B12" s="18"/>
      <c r="C12" s="18"/>
      <c r="D12" s="18"/>
      <c r="E12" s="18"/>
      <c r="F12" s="18"/>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c r="IK12" s="17"/>
      <c r="IL12" s="17"/>
      <c r="IM12" s="17"/>
      <c r="IN12" s="17"/>
      <c r="IO12" s="17"/>
      <c r="IP12" s="17"/>
      <c r="IQ12" s="17"/>
      <c r="IR12" s="17"/>
      <c r="IS12" s="17"/>
      <c r="IT12" s="17"/>
      <c r="IU12" s="17"/>
    </row>
    <row r="13" spans="1:255" ht="24" x14ac:dyDescent="0.15">
      <c r="A13" s="27" t="s">
        <v>96</v>
      </c>
      <c r="B13" s="28">
        <v>2020</v>
      </c>
      <c r="C13" s="28">
        <v>2021</v>
      </c>
      <c r="D13" s="28">
        <v>2022</v>
      </c>
      <c r="E13" s="28">
        <v>2023</v>
      </c>
      <c r="F13" s="28">
        <v>2024</v>
      </c>
    </row>
    <row r="14" spans="1:255" x14ac:dyDescent="0.15">
      <c r="A14" s="7" t="s">
        <v>195</v>
      </c>
      <c r="B14" s="5"/>
      <c r="C14" s="5"/>
      <c r="D14" s="5"/>
      <c r="E14" s="5"/>
      <c r="F14" s="5"/>
    </row>
    <row r="15" spans="1:255" x14ac:dyDescent="0.15">
      <c r="A15" s="5" t="s">
        <v>260</v>
      </c>
      <c r="B15" s="11">
        <v>3.0903E-2</v>
      </c>
      <c r="C15" s="11">
        <v>3.5152000000000003E-2</v>
      </c>
      <c r="D15" s="11">
        <v>2.6384000000000001E-2</v>
      </c>
      <c r="E15" s="11">
        <v>3.8260000000000002E-2</v>
      </c>
      <c r="F15" s="11">
        <v>4.3166000000000003E-2</v>
      </c>
    </row>
    <row r="16" spans="1:255" x14ac:dyDescent="0.15">
      <c r="A16" s="5" t="s">
        <v>259</v>
      </c>
      <c r="B16" s="11">
        <v>3.9274999999999997E-2</v>
      </c>
      <c r="C16" s="11">
        <v>4.5605E-2</v>
      </c>
      <c r="D16" s="11">
        <v>3.4630000000000001E-2</v>
      </c>
      <c r="E16" s="11">
        <v>5.0615E-2</v>
      </c>
      <c r="F16" s="11">
        <v>5.7050999999999998E-2</v>
      </c>
    </row>
    <row r="17" spans="1:6" x14ac:dyDescent="0.15">
      <c r="A17" s="5" t="s">
        <v>258</v>
      </c>
      <c r="B17" s="11">
        <v>-7.1930999999999995E-2</v>
      </c>
      <c r="C17" s="11">
        <v>7.6733999999999997E-2</v>
      </c>
      <c r="D17" s="11">
        <v>-1.4033E-2</v>
      </c>
      <c r="E17" s="11">
        <v>7.2591000000000003E-2</v>
      </c>
      <c r="F17" s="11">
        <v>8.6112999999999995E-2</v>
      </c>
    </row>
    <row r="18" spans="1:6" x14ac:dyDescent="0.15">
      <c r="A18" s="5" t="s">
        <v>257</v>
      </c>
      <c r="B18" s="11">
        <v>-7.3609999999999995E-2</v>
      </c>
      <c r="C18" s="11">
        <v>7.8015000000000001E-2</v>
      </c>
      <c r="D18" s="11">
        <v>-1.3429E-2</v>
      </c>
      <c r="E18" s="11">
        <v>7.3314000000000004E-2</v>
      </c>
      <c r="F18" s="11">
        <v>8.5390999999999995E-2</v>
      </c>
    </row>
    <row r="19" spans="1:6" x14ac:dyDescent="0.15">
      <c r="A19" s="5"/>
      <c r="B19" s="5"/>
      <c r="C19" s="5"/>
      <c r="D19" s="5"/>
      <c r="E19" s="5"/>
      <c r="F19" s="5"/>
    </row>
    <row r="20" spans="1:6" x14ac:dyDescent="0.15">
      <c r="A20" s="7" t="s">
        <v>256</v>
      </c>
      <c r="B20" s="5"/>
      <c r="C20" s="5"/>
      <c r="D20" s="5"/>
      <c r="E20" s="5"/>
      <c r="F20" s="5"/>
    </row>
    <row r="21" spans="1:6" x14ac:dyDescent="0.15">
      <c r="A21" s="5" t="s">
        <v>255</v>
      </c>
      <c r="B21" s="11">
        <v>0.39319399999999999</v>
      </c>
      <c r="C21" s="11">
        <v>0.39431100000000002</v>
      </c>
      <c r="D21" s="11">
        <v>0.34157500000000002</v>
      </c>
      <c r="E21" s="11">
        <v>0.373334</v>
      </c>
      <c r="F21" s="11">
        <v>0.38990200000000003</v>
      </c>
    </row>
    <row r="22" spans="1:6" x14ac:dyDescent="0.15">
      <c r="A22" s="5" t="s">
        <v>254</v>
      </c>
      <c r="B22" s="11">
        <v>0.22650700000000001</v>
      </c>
      <c r="C22" s="11">
        <v>0.222778</v>
      </c>
      <c r="D22" s="11">
        <v>0.21662400000000001</v>
      </c>
      <c r="E22" s="11">
        <v>0.218969</v>
      </c>
      <c r="F22" s="11">
        <v>0.21640100000000001</v>
      </c>
    </row>
    <row r="23" spans="1:6" x14ac:dyDescent="0.15">
      <c r="A23" s="5" t="s">
        <v>253</v>
      </c>
      <c r="B23" s="11">
        <v>0.22777</v>
      </c>
      <c r="C23" s="11">
        <v>0.225298</v>
      </c>
      <c r="D23" s="11">
        <v>0.16949800000000001</v>
      </c>
      <c r="E23" s="11">
        <v>0.19499900000000001</v>
      </c>
      <c r="F23" s="11">
        <v>0.21301200000000001</v>
      </c>
    </row>
    <row r="24" spans="1:6" x14ac:dyDescent="0.15">
      <c r="A24" s="5" t="s">
        <v>252</v>
      </c>
      <c r="B24" s="11">
        <v>0.166687</v>
      </c>
      <c r="C24" s="11">
        <v>0.17153199999999999</v>
      </c>
      <c r="D24" s="11">
        <v>0.12495000000000001</v>
      </c>
      <c r="E24" s="11">
        <v>0.154365</v>
      </c>
      <c r="F24" s="11">
        <v>0.17350099999999999</v>
      </c>
    </row>
    <row r="25" spans="1:6" x14ac:dyDescent="0.15">
      <c r="A25" s="5" t="s">
        <v>251</v>
      </c>
      <c r="B25" s="11">
        <v>0.143898</v>
      </c>
      <c r="C25" s="11">
        <v>0.15032499999999999</v>
      </c>
      <c r="D25" s="11">
        <v>0.105504</v>
      </c>
      <c r="E25" s="11">
        <v>0.13664999999999999</v>
      </c>
      <c r="F25" s="11">
        <v>0.155749</v>
      </c>
    </row>
    <row r="26" spans="1:6" x14ac:dyDescent="0.15">
      <c r="A26" s="5" t="s">
        <v>250</v>
      </c>
      <c r="B26" s="11">
        <v>-9.7959000000000004E-2</v>
      </c>
      <c r="C26" s="11">
        <v>9.8104999999999998E-2</v>
      </c>
      <c r="D26" s="11">
        <v>-1.7427999999999999E-2</v>
      </c>
      <c r="E26" s="11">
        <v>8.1727999999999995E-2</v>
      </c>
      <c r="F26" s="11">
        <v>9.9569000000000005E-2</v>
      </c>
    </row>
    <row r="27" spans="1:6" x14ac:dyDescent="0.15">
      <c r="A27" s="5" t="s">
        <v>249</v>
      </c>
      <c r="B27" s="11">
        <v>-9.8300999999999999E-2</v>
      </c>
      <c r="C27" s="11">
        <v>9.7833000000000003E-2</v>
      </c>
      <c r="D27" s="11">
        <v>-1.6381E-2</v>
      </c>
      <c r="E27" s="11">
        <v>8.1087999999999993E-2</v>
      </c>
      <c r="F27" s="11">
        <v>9.6532999999999994E-2</v>
      </c>
    </row>
    <row r="28" spans="1:6" x14ac:dyDescent="0.15">
      <c r="A28" s="5" t="s">
        <v>248</v>
      </c>
      <c r="B28" s="11">
        <v>-9.8300999999999999E-2</v>
      </c>
      <c r="C28" s="11">
        <v>9.7833000000000003E-2</v>
      </c>
      <c r="D28" s="11">
        <v>-1.6381E-2</v>
      </c>
      <c r="E28" s="11">
        <v>8.1087999999999993E-2</v>
      </c>
      <c r="F28" s="11">
        <v>9.6532999999999994E-2</v>
      </c>
    </row>
    <row r="29" spans="1:6" x14ac:dyDescent="0.15">
      <c r="A29" s="5" t="s">
        <v>247</v>
      </c>
      <c r="B29" s="11">
        <v>7.2574E-2</v>
      </c>
      <c r="C29" s="11">
        <v>7.7781000000000003E-2</v>
      </c>
      <c r="D29" s="11">
        <v>5.2274000000000001E-2</v>
      </c>
      <c r="E29" s="11">
        <v>7.4942999999999996E-2</v>
      </c>
      <c r="F29" s="11">
        <v>8.1271999999999997E-2</v>
      </c>
    </row>
    <row r="30" spans="1:6" x14ac:dyDescent="0.15">
      <c r="A30" s="5" t="s">
        <v>246</v>
      </c>
      <c r="B30" s="11">
        <v>0.108776</v>
      </c>
      <c r="C30" s="11">
        <v>7.7523999999999996E-2</v>
      </c>
      <c r="D30" s="11">
        <v>6.1339999999999999E-2</v>
      </c>
      <c r="E30" s="11">
        <v>0.10030500000000001</v>
      </c>
      <c r="F30" s="11">
        <v>7.9824000000000006E-2</v>
      </c>
    </row>
    <row r="31" spans="1:6" x14ac:dyDescent="0.15">
      <c r="A31" s="5" t="s">
        <v>245</v>
      </c>
      <c r="B31" s="11">
        <v>0.12571399999999999</v>
      </c>
      <c r="C31" s="11">
        <v>9.2698000000000003E-2</v>
      </c>
      <c r="D31" s="11">
        <v>7.5256000000000003E-2</v>
      </c>
      <c r="E31" s="11">
        <v>0.112316</v>
      </c>
      <c r="F31" s="11">
        <v>9.4564999999999996E-2</v>
      </c>
    </row>
    <row r="32" spans="1:6" x14ac:dyDescent="0.15">
      <c r="A32" s="5"/>
      <c r="B32" s="5"/>
      <c r="C32" s="5"/>
      <c r="D32" s="5"/>
      <c r="E32" s="5"/>
      <c r="F32" s="5"/>
    </row>
    <row r="33" spans="1:6" x14ac:dyDescent="0.15">
      <c r="A33" s="7" t="s">
        <v>198</v>
      </c>
      <c r="B33" s="5"/>
      <c r="C33" s="5"/>
      <c r="D33" s="5"/>
      <c r="E33" s="5"/>
      <c r="F33" s="5"/>
    </row>
    <row r="34" spans="1:6" x14ac:dyDescent="0.15">
      <c r="A34" s="5" t="s">
        <v>244</v>
      </c>
      <c r="B34" s="36">
        <v>0.34361399999999998</v>
      </c>
      <c r="C34" s="36">
        <v>0.37414599999999998</v>
      </c>
      <c r="D34" s="36">
        <v>0.40013199999999999</v>
      </c>
      <c r="E34" s="36">
        <v>0.44798300000000002</v>
      </c>
      <c r="F34" s="36">
        <v>0.44344499999999998</v>
      </c>
    </row>
    <row r="35" spans="1:6" x14ac:dyDescent="0.15">
      <c r="A35" s="5" t="s">
        <v>243</v>
      </c>
      <c r="B35" s="36">
        <v>2.124676</v>
      </c>
      <c r="C35" s="36">
        <v>2.3636919999999999</v>
      </c>
      <c r="D35" s="36">
        <v>2.4693659999999999</v>
      </c>
      <c r="E35" s="36">
        <v>2.6002640000000001</v>
      </c>
      <c r="F35" s="36">
        <v>2.5018820000000002</v>
      </c>
    </row>
    <row r="36" spans="1:6" x14ac:dyDescent="0.15">
      <c r="A36" s="5" t="s">
        <v>242</v>
      </c>
      <c r="B36" s="36">
        <v>15.378733</v>
      </c>
      <c r="C36" s="36">
        <v>16.735368000000001</v>
      </c>
      <c r="D36" s="36">
        <v>15.085641000000001</v>
      </c>
      <c r="E36" s="36">
        <v>15.627803999999999</v>
      </c>
      <c r="F36" s="36">
        <v>16.027293</v>
      </c>
    </row>
    <row r="37" spans="1:6" x14ac:dyDescent="0.15">
      <c r="A37" s="5" t="s">
        <v>241</v>
      </c>
      <c r="B37" s="36">
        <v>9.1518510000000006</v>
      </c>
      <c r="C37" s="36">
        <v>8.4769229999999993</v>
      </c>
      <c r="D37" s="36">
        <v>8.8204799999999999</v>
      </c>
      <c r="E37" s="36">
        <v>9.1942070000000005</v>
      </c>
      <c r="F37" s="36">
        <v>9.2720730000000007</v>
      </c>
    </row>
    <row r="38" spans="1:6" x14ac:dyDescent="0.15">
      <c r="A38" s="5"/>
      <c r="B38" s="5"/>
      <c r="C38" s="5"/>
      <c r="D38" s="5"/>
      <c r="E38" s="5"/>
      <c r="F38" s="5"/>
    </row>
    <row r="39" spans="1:6" x14ac:dyDescent="0.15">
      <c r="A39" s="7" t="s">
        <v>240</v>
      </c>
      <c r="B39" s="5"/>
      <c r="C39" s="5"/>
      <c r="D39" s="5"/>
      <c r="E39" s="5"/>
      <c r="F39" s="5"/>
    </row>
    <row r="40" spans="1:6" x14ac:dyDescent="0.15">
      <c r="A40" s="5" t="s">
        <v>239</v>
      </c>
      <c r="B40" s="36">
        <v>0.61868199999999995</v>
      </c>
      <c r="C40" s="36">
        <v>0.76712999999999998</v>
      </c>
      <c r="D40" s="36">
        <v>0.78153700000000004</v>
      </c>
      <c r="E40" s="36">
        <v>0.69601199999999996</v>
      </c>
      <c r="F40" s="36">
        <v>0.93537300000000001</v>
      </c>
    </row>
    <row r="41" spans="1:6" x14ac:dyDescent="0.15">
      <c r="A41" s="5" t="s">
        <v>238</v>
      </c>
      <c r="B41" s="36">
        <v>0.37272300000000003</v>
      </c>
      <c r="C41" s="36">
        <v>0.41875099999999998</v>
      </c>
      <c r="D41" s="36">
        <v>0.43437799999999999</v>
      </c>
      <c r="E41" s="36">
        <v>0.42718499999999998</v>
      </c>
      <c r="F41" s="36">
        <v>0.59509999999999996</v>
      </c>
    </row>
    <row r="42" spans="1:6" x14ac:dyDescent="0.15">
      <c r="A42" s="5" t="s">
        <v>237</v>
      </c>
      <c r="B42" s="36">
        <v>0.43372699999999997</v>
      </c>
      <c r="C42" s="36">
        <v>0.43440400000000001</v>
      </c>
      <c r="D42" s="36">
        <v>0.44498399999999999</v>
      </c>
      <c r="E42" s="36">
        <v>0.50799000000000005</v>
      </c>
      <c r="F42" s="36">
        <v>0.62731499999999996</v>
      </c>
    </row>
    <row r="43" spans="1:6" x14ac:dyDescent="0.15">
      <c r="A43" s="5" t="s">
        <v>236</v>
      </c>
      <c r="B43" s="8">
        <v>23.798784000000001</v>
      </c>
      <c r="C43" s="8">
        <v>21.809844999999999</v>
      </c>
      <c r="D43" s="8">
        <v>24.195119999999999</v>
      </c>
      <c r="E43" s="8">
        <v>23.355619999999998</v>
      </c>
      <c r="F43" s="8">
        <v>22.835837999999999</v>
      </c>
    </row>
    <row r="44" spans="1:6" x14ac:dyDescent="0.15">
      <c r="A44" s="5" t="s">
        <v>235</v>
      </c>
      <c r="B44" s="8">
        <v>39.991722000000003</v>
      </c>
      <c r="C44" s="8">
        <v>43.057955</v>
      </c>
      <c r="D44" s="8">
        <v>41.380780000000001</v>
      </c>
      <c r="E44" s="8">
        <v>39.698860000000003</v>
      </c>
      <c r="F44" s="8">
        <v>39.473100000000002</v>
      </c>
    </row>
    <row r="45" spans="1:6" x14ac:dyDescent="0.15">
      <c r="A45" s="5" t="s">
        <v>234</v>
      </c>
      <c r="B45" s="8">
        <v>105.945654</v>
      </c>
      <c r="C45" s="8">
        <v>109.80879</v>
      </c>
      <c r="D45" s="8">
        <v>112.167055</v>
      </c>
      <c r="E45" s="8">
        <v>108.20206</v>
      </c>
      <c r="F45" s="8">
        <v>108.155562</v>
      </c>
    </row>
    <row r="46" spans="1:6" x14ac:dyDescent="0.15">
      <c r="A46" s="5" t="s">
        <v>233</v>
      </c>
      <c r="B46" s="8">
        <v>-42.2</v>
      </c>
      <c r="C46" s="8">
        <v>-44.9</v>
      </c>
      <c r="D46" s="8">
        <v>-46.6</v>
      </c>
      <c r="E46" s="8">
        <v>-45.1</v>
      </c>
      <c r="F46" s="8">
        <v>-45.8</v>
      </c>
    </row>
    <row r="47" spans="1:6" x14ac:dyDescent="0.15">
      <c r="A47" s="5"/>
      <c r="B47" s="5"/>
      <c r="C47" s="5"/>
      <c r="D47" s="5"/>
      <c r="E47" s="5"/>
      <c r="F47" s="5"/>
    </row>
    <row r="48" spans="1:6" x14ac:dyDescent="0.15">
      <c r="A48" s="7" t="s">
        <v>232</v>
      </c>
      <c r="B48" s="5"/>
      <c r="C48" s="5"/>
      <c r="D48" s="5"/>
      <c r="E48" s="5"/>
      <c r="F48" s="5"/>
    </row>
    <row r="49" spans="1:6" x14ac:dyDescent="0.15">
      <c r="A49" s="5" t="s">
        <v>231</v>
      </c>
      <c r="B49" s="11">
        <v>0.68164899999999995</v>
      </c>
      <c r="C49" s="11">
        <v>0.54640200000000005</v>
      </c>
      <c r="D49" s="11">
        <v>0.51925600000000005</v>
      </c>
      <c r="E49" s="11">
        <v>0.47894599999999998</v>
      </c>
      <c r="F49" s="11">
        <v>0.47234300000000001</v>
      </c>
    </row>
    <row r="50" spans="1:6" x14ac:dyDescent="0.15">
      <c r="A50" s="5" t="s">
        <v>266</v>
      </c>
      <c r="B50" s="11">
        <v>0.40534500000000001</v>
      </c>
      <c r="C50" s="11">
        <v>0.35333700000000001</v>
      </c>
      <c r="D50" s="11">
        <v>0.341783</v>
      </c>
      <c r="E50" s="11">
        <v>0.32384299999999999</v>
      </c>
      <c r="F50" s="11">
        <v>0.32080999999999998</v>
      </c>
    </row>
    <row r="51" spans="1:6" x14ac:dyDescent="0.15">
      <c r="A51" s="5" t="s">
        <v>230</v>
      </c>
      <c r="B51" s="11">
        <v>0.59331400000000001</v>
      </c>
      <c r="C51" s="11">
        <v>0.50044200000000005</v>
      </c>
      <c r="D51" s="11">
        <v>0.48504799999999998</v>
      </c>
      <c r="E51" s="11">
        <v>0.40758899999999998</v>
      </c>
      <c r="F51" s="11">
        <v>0.466478</v>
      </c>
    </row>
    <row r="52" spans="1:6" x14ac:dyDescent="0.15">
      <c r="A52" s="5" t="s">
        <v>229</v>
      </c>
      <c r="B52" s="11">
        <v>0.35281699999999999</v>
      </c>
      <c r="C52" s="11">
        <v>0.32361699999999999</v>
      </c>
      <c r="D52" s="11">
        <v>0.31926700000000002</v>
      </c>
      <c r="E52" s="11">
        <v>0.27559400000000001</v>
      </c>
      <c r="F52" s="11">
        <v>0.31682700000000003</v>
      </c>
    </row>
    <row r="53" spans="1:6" x14ac:dyDescent="0.15">
      <c r="A53" s="5" t="s">
        <v>228</v>
      </c>
      <c r="B53" s="11">
        <v>0.53820699999999999</v>
      </c>
      <c r="C53" s="11">
        <v>0.50526400000000005</v>
      </c>
      <c r="D53" s="11">
        <v>0.50073199999999995</v>
      </c>
      <c r="E53" s="11">
        <v>0.49061399999999999</v>
      </c>
      <c r="F53" s="11">
        <v>0.48386400000000002</v>
      </c>
    </row>
    <row r="54" spans="1:6" x14ac:dyDescent="0.15">
      <c r="A54" s="5"/>
      <c r="B54" s="5"/>
      <c r="C54" s="5"/>
      <c r="D54" s="5"/>
      <c r="E54" s="5"/>
      <c r="F54" s="5"/>
    </row>
    <row r="55" spans="1:6" x14ac:dyDescent="0.15">
      <c r="A55" s="5" t="s">
        <v>267</v>
      </c>
      <c r="B55" s="36">
        <v>5.0589940000000002</v>
      </c>
      <c r="C55" s="36">
        <v>5.9366110000000001</v>
      </c>
      <c r="D55" s="36">
        <v>4.5051870000000003</v>
      </c>
      <c r="E55" s="36">
        <v>6.8337599999999998</v>
      </c>
      <c r="F55" s="36">
        <v>6.4057300000000001</v>
      </c>
    </row>
    <row r="56" spans="1:6" x14ac:dyDescent="0.15">
      <c r="A56" s="5" t="s">
        <v>227</v>
      </c>
      <c r="B56" s="36">
        <v>8.2676619999999996</v>
      </c>
      <c r="C56" s="36">
        <v>9.1786399999999997</v>
      </c>
      <c r="D56" s="36">
        <v>7.5271340000000002</v>
      </c>
      <c r="E56" s="36">
        <v>10.099145</v>
      </c>
      <c r="F56" s="36">
        <v>9.0682700000000001</v>
      </c>
    </row>
    <row r="57" spans="1:6" x14ac:dyDescent="0.15">
      <c r="A57" s="5" t="s">
        <v>226</v>
      </c>
      <c r="B57" s="36">
        <v>6.1744349999999999</v>
      </c>
      <c r="C57" s="36">
        <v>7.1709560000000003</v>
      </c>
      <c r="D57" s="36">
        <v>4.8878690000000002</v>
      </c>
      <c r="E57" s="36">
        <v>7.2294869999999998</v>
      </c>
      <c r="F57" s="36">
        <v>6.6837629999999999</v>
      </c>
    </row>
    <row r="58" spans="1:6" x14ac:dyDescent="0.15">
      <c r="A58" s="5" t="s">
        <v>225</v>
      </c>
      <c r="B58" s="36">
        <v>3.7894990000000002</v>
      </c>
      <c r="C58" s="36">
        <v>3.1249370000000001</v>
      </c>
      <c r="D58" s="36">
        <v>3.555266</v>
      </c>
      <c r="E58" s="36">
        <v>2.7228750000000002</v>
      </c>
      <c r="F58" s="36">
        <v>2.4786619999999999</v>
      </c>
    </row>
    <row r="59" spans="1:6" x14ac:dyDescent="0.15">
      <c r="A59" s="5" t="s">
        <v>224</v>
      </c>
      <c r="B59" s="36">
        <v>3.4502920000000001</v>
      </c>
      <c r="C59" s="36">
        <v>2.8581530000000002</v>
      </c>
      <c r="D59" s="36">
        <v>3.2371829999999999</v>
      </c>
      <c r="E59" s="36">
        <v>2.3551959999999998</v>
      </c>
      <c r="F59" s="36">
        <v>2.1005609999999999</v>
      </c>
    </row>
    <row r="60" spans="1:6" x14ac:dyDescent="0.15">
      <c r="A60" s="5" t="s">
        <v>223</v>
      </c>
      <c r="B60" s="36">
        <v>5.0741959999999997</v>
      </c>
      <c r="C60" s="36">
        <v>3.9998390000000001</v>
      </c>
      <c r="D60" s="36">
        <v>5.474977</v>
      </c>
      <c r="E60" s="36">
        <v>3.8036880000000002</v>
      </c>
      <c r="F60" s="36">
        <v>3.3629530000000001</v>
      </c>
    </row>
    <row r="61" spans="1:6" x14ac:dyDescent="0.15">
      <c r="A61" s="5" t="s">
        <v>222</v>
      </c>
      <c r="B61" s="36">
        <v>4.6199940000000002</v>
      </c>
      <c r="C61" s="36">
        <v>3.6583619999999999</v>
      </c>
      <c r="D61" s="36">
        <v>4.9851409999999996</v>
      </c>
      <c r="E61" s="36">
        <v>3.290063</v>
      </c>
      <c r="F61" s="36">
        <v>2.8499599999999998</v>
      </c>
    </row>
    <row r="62" spans="1:6" x14ac:dyDescent="0.15">
      <c r="A62" s="5"/>
      <c r="B62" s="5"/>
      <c r="C62" s="5"/>
      <c r="D62" s="5"/>
      <c r="E62" s="5"/>
      <c r="F62" s="5"/>
    </row>
    <row r="63" spans="1:6" x14ac:dyDescent="0.15">
      <c r="A63" s="5" t="s">
        <v>221</v>
      </c>
      <c r="B63" s="14">
        <v>1.1623889999999999</v>
      </c>
      <c r="C63" s="14">
        <v>1.36053</v>
      </c>
      <c r="D63" s="14">
        <v>1.4242330000000001</v>
      </c>
      <c r="E63" s="14">
        <v>1.583752</v>
      </c>
      <c r="F63" s="14">
        <v>1.6918960000000001</v>
      </c>
    </row>
    <row r="64" spans="1:6" x14ac:dyDescent="0.15">
      <c r="A64" s="5"/>
      <c r="B64" s="5"/>
      <c r="C64" s="5"/>
      <c r="D64" s="5"/>
      <c r="E64" s="5"/>
      <c r="F64" s="5"/>
    </row>
    <row r="65" spans="1:6" x14ac:dyDescent="0.15">
      <c r="A65" s="7" t="s">
        <v>220</v>
      </c>
      <c r="B65" s="5"/>
      <c r="C65" s="5"/>
      <c r="D65" s="5"/>
      <c r="E65" s="5"/>
      <c r="F65" s="5"/>
    </row>
    <row r="66" spans="1:6" x14ac:dyDescent="0.15">
      <c r="A66" s="5" t="s">
        <v>85</v>
      </c>
      <c r="B66" s="11">
        <v>-8.7471999999999994E-2</v>
      </c>
      <c r="C66" s="11">
        <v>6.4811999999999995E-2</v>
      </c>
      <c r="D66" s="11">
        <v>4.0982999999999999E-2</v>
      </c>
      <c r="E66" s="11">
        <v>9.3551999999999996E-2</v>
      </c>
      <c r="F66" s="11">
        <v>-6.4180000000000001E-3</v>
      </c>
    </row>
    <row r="67" spans="1:6" x14ac:dyDescent="0.15">
      <c r="A67" s="5" t="s">
        <v>83</v>
      </c>
      <c r="B67" s="11">
        <v>-9.6473000000000003E-2</v>
      </c>
      <c r="C67" s="11">
        <v>6.7835999999999994E-2</v>
      </c>
      <c r="D67" s="11">
        <v>-9.8239000000000007E-2</v>
      </c>
      <c r="E67" s="11">
        <v>0.19522800000000001</v>
      </c>
      <c r="F67" s="11">
        <v>3.7676000000000001E-2</v>
      </c>
    </row>
    <row r="68" spans="1:6" x14ac:dyDescent="0.15">
      <c r="A68" s="5" t="s">
        <v>216</v>
      </c>
      <c r="B68" s="11">
        <v>-5.5618000000000001E-2</v>
      </c>
      <c r="C68" s="11">
        <v>5.3253000000000002E-2</v>
      </c>
      <c r="D68" s="11">
        <v>-0.21684</v>
      </c>
      <c r="E68" s="11">
        <v>0.25807600000000003</v>
      </c>
      <c r="F68" s="11">
        <v>8.5366999999999998E-2</v>
      </c>
    </row>
    <row r="69" spans="1:6" x14ac:dyDescent="0.15">
      <c r="A69" s="5" t="s">
        <v>215</v>
      </c>
      <c r="B69" s="11">
        <v>-6.5669000000000005E-2</v>
      </c>
      <c r="C69" s="11">
        <v>9.5760999999999999E-2</v>
      </c>
      <c r="D69" s="11">
        <v>-0.241706</v>
      </c>
      <c r="E69" s="11">
        <v>0.35098299999999999</v>
      </c>
      <c r="F69" s="11">
        <v>0.11675099999999999</v>
      </c>
    </row>
    <row r="70" spans="1:6" x14ac:dyDescent="0.15">
      <c r="A70" s="5" t="s">
        <v>214</v>
      </c>
      <c r="B70" s="11">
        <v>-7.4546000000000001E-2</v>
      </c>
      <c r="C70" s="11">
        <v>0.11236599999999999</v>
      </c>
      <c r="D70" s="11">
        <v>-0.26939800000000003</v>
      </c>
      <c r="E70" s="11">
        <v>0.41638599999999998</v>
      </c>
      <c r="F70" s="11">
        <v>0.13244900000000001</v>
      </c>
    </row>
    <row r="71" spans="1:6" ht="12" x14ac:dyDescent="0.15">
      <c r="A71" s="5" t="s">
        <v>58</v>
      </c>
      <c r="B71" s="11" t="s">
        <v>30</v>
      </c>
      <c r="C71" s="11" t="s">
        <v>30</v>
      </c>
      <c r="D71" s="11" t="s">
        <v>30</v>
      </c>
      <c r="E71" s="11" t="s">
        <v>30</v>
      </c>
      <c r="F71" s="11">
        <v>0.210476</v>
      </c>
    </row>
    <row r="72" spans="1:6" ht="12" x14ac:dyDescent="0.15">
      <c r="A72" s="5" t="s">
        <v>53</v>
      </c>
      <c r="B72" s="11" t="s">
        <v>30</v>
      </c>
      <c r="C72" s="11" t="s">
        <v>30</v>
      </c>
      <c r="D72" s="11" t="s">
        <v>30</v>
      </c>
      <c r="E72" s="11" t="s">
        <v>30</v>
      </c>
      <c r="F72" s="11">
        <v>0.18284300000000001</v>
      </c>
    </row>
    <row r="73" spans="1:6" x14ac:dyDescent="0.15">
      <c r="A73" s="5" t="s">
        <v>213</v>
      </c>
      <c r="B73" s="11">
        <v>-8.3236000000000004E-2</v>
      </c>
      <c r="C73" s="11">
        <v>0.14121</v>
      </c>
      <c r="D73" s="11">
        <v>-0.30039399999999999</v>
      </c>
      <c r="E73" s="11">
        <v>0.56778600000000001</v>
      </c>
      <c r="F73" s="11">
        <v>7.7479999999999993E-2</v>
      </c>
    </row>
    <row r="74" spans="1:6" ht="12" x14ac:dyDescent="0.15">
      <c r="A74" s="5" t="s">
        <v>212</v>
      </c>
      <c r="B74" s="11" t="s">
        <v>30</v>
      </c>
      <c r="C74" s="11" t="s">
        <v>30</v>
      </c>
      <c r="D74" s="11" t="s">
        <v>30</v>
      </c>
      <c r="E74" s="11" t="s">
        <v>30</v>
      </c>
      <c r="F74" s="11">
        <v>0.22425600000000001</v>
      </c>
    </row>
    <row r="75" spans="1:6" x14ac:dyDescent="0.15">
      <c r="A75" s="5"/>
      <c r="B75" s="5"/>
      <c r="C75" s="5"/>
      <c r="D75" s="5"/>
      <c r="E75" s="5"/>
      <c r="F75" s="5"/>
    </row>
    <row r="76" spans="1:6" x14ac:dyDescent="0.15">
      <c r="A76" s="5" t="s">
        <v>211</v>
      </c>
      <c r="B76" s="11">
        <v>-0.22142000000000001</v>
      </c>
      <c r="C76" s="11">
        <v>0.235262</v>
      </c>
      <c r="D76" s="11">
        <v>8.9703000000000005E-2</v>
      </c>
      <c r="E76" s="11">
        <v>2.4330000000000001E-2</v>
      </c>
      <c r="F76" s="11">
        <v>-8.5378999999999997E-2</v>
      </c>
    </row>
    <row r="77" spans="1:6" x14ac:dyDescent="0.15">
      <c r="A77" s="5" t="s">
        <v>210</v>
      </c>
      <c r="B77" s="11">
        <v>7.8584000000000001E-2</v>
      </c>
      <c r="C77" s="11">
        <v>0.21135000000000001</v>
      </c>
      <c r="D77" s="11">
        <v>-1.4664E-2</v>
      </c>
      <c r="E77" s="11">
        <v>1.1854999999999999E-2</v>
      </c>
      <c r="F77" s="11">
        <v>-9.2858999999999997E-2</v>
      </c>
    </row>
    <row r="78" spans="1:6" x14ac:dyDescent="0.15">
      <c r="A78" s="5" t="s">
        <v>209</v>
      </c>
      <c r="B78" s="11">
        <v>-6.6901000000000002E-2</v>
      </c>
      <c r="C78" s="11">
        <v>-1.7097999999999999E-2</v>
      </c>
      <c r="D78" s="11">
        <v>1.0205000000000001E-2</v>
      </c>
      <c r="E78" s="11">
        <v>6.6513000000000003E-2</v>
      </c>
      <c r="F78" s="11">
        <v>9.0399999999999996E-4</v>
      </c>
    </row>
    <row r="79" spans="1:6" x14ac:dyDescent="0.15">
      <c r="A79" s="5" t="s">
        <v>208</v>
      </c>
      <c r="B79" s="11">
        <v>-5.2970000000000003E-2</v>
      </c>
      <c r="C79" s="11">
        <v>1.0533000000000001E-2</v>
      </c>
      <c r="D79" s="11">
        <v>-6.3388E-2</v>
      </c>
      <c r="E79" s="11">
        <v>1.9591000000000001E-2</v>
      </c>
      <c r="F79" s="11">
        <v>-1.1783999999999999E-2</v>
      </c>
    </row>
    <row r="80" spans="1:6" x14ac:dyDescent="0.15">
      <c r="A80" s="5"/>
      <c r="B80" s="5"/>
      <c r="C80" s="5"/>
      <c r="D80" s="5"/>
      <c r="E80" s="5"/>
      <c r="F80" s="5"/>
    </row>
    <row r="81" spans="1:6" ht="12" x14ac:dyDescent="0.15">
      <c r="A81" s="5" t="s">
        <v>207</v>
      </c>
      <c r="B81" s="11" t="s">
        <v>30</v>
      </c>
      <c r="C81" s="11" t="s">
        <v>30</v>
      </c>
      <c r="D81" s="11" t="s">
        <v>30</v>
      </c>
      <c r="E81" s="11" t="s">
        <v>30</v>
      </c>
      <c r="F81" s="11" t="s">
        <v>30</v>
      </c>
    </row>
    <row r="82" spans="1:6" x14ac:dyDescent="0.15">
      <c r="A82" s="5" t="s">
        <v>206</v>
      </c>
      <c r="B82" s="11">
        <v>-7.8573000000000004E-2</v>
      </c>
      <c r="C82" s="11">
        <v>8.5085999999999995E-2</v>
      </c>
      <c r="D82" s="11">
        <v>-5.4214999999999999E-2</v>
      </c>
      <c r="E82" s="11">
        <v>3.9898000000000003E-2</v>
      </c>
      <c r="F82" s="11">
        <v>-7.8510000000000003E-3</v>
      </c>
    </row>
    <row r="83" spans="1:6" x14ac:dyDescent="0.15">
      <c r="A83" s="5" t="s">
        <v>205</v>
      </c>
      <c r="B83" s="11">
        <v>-0.106257</v>
      </c>
      <c r="C83" s="11">
        <v>-7.2065000000000004E-2</v>
      </c>
      <c r="D83" s="11">
        <v>-4.5441000000000002E-2</v>
      </c>
      <c r="E83" s="11">
        <v>0.384154</v>
      </c>
      <c r="F83" s="11">
        <v>-8.1144999999999995E-2</v>
      </c>
    </row>
    <row r="84" spans="1:6" x14ac:dyDescent="0.15">
      <c r="A84" s="5" t="s">
        <v>204</v>
      </c>
      <c r="B84" s="11">
        <v>-3.1997999999999999E-2</v>
      </c>
      <c r="C84" s="11">
        <v>-9.0815000000000007E-2</v>
      </c>
      <c r="D84" s="11">
        <v>0.26559500000000003</v>
      </c>
      <c r="E84" s="11">
        <v>1.5270000000000001E-2</v>
      </c>
      <c r="F84" s="11">
        <v>3.8709999999999999E-3</v>
      </c>
    </row>
    <row r="85" spans="1:6" x14ac:dyDescent="0.15">
      <c r="A85" s="5" t="s">
        <v>203</v>
      </c>
      <c r="B85" s="11">
        <v>-3.0467999999999999E-2</v>
      </c>
      <c r="C85" s="11">
        <v>-0.241115</v>
      </c>
      <c r="D85" s="11">
        <v>-0.17633499999999999</v>
      </c>
      <c r="E85" s="11">
        <v>0.788219</v>
      </c>
      <c r="F85" s="11">
        <v>-0.209291</v>
      </c>
    </row>
    <row r="86" spans="1:6" x14ac:dyDescent="0.15">
      <c r="A86" s="5" t="s">
        <v>202</v>
      </c>
      <c r="B86" s="11">
        <v>-2.5250000000000002E-2</v>
      </c>
      <c r="C86" s="11">
        <v>-0.214838</v>
      </c>
      <c r="D86" s="11">
        <v>-0.15488099999999999</v>
      </c>
      <c r="E86" s="11">
        <v>0.63205800000000001</v>
      </c>
      <c r="F86" s="11">
        <v>-0.16344800000000001</v>
      </c>
    </row>
    <row r="87" spans="1:6" x14ac:dyDescent="0.15">
      <c r="A87" s="5" t="s">
        <v>201</v>
      </c>
      <c r="B87" s="11">
        <v>-0.70918400000000004</v>
      </c>
      <c r="C87" s="11">
        <v>0.19298199999999999</v>
      </c>
      <c r="D87" s="11">
        <v>1.2352939999999999</v>
      </c>
      <c r="E87" s="11">
        <v>7.8947000000000003E-2</v>
      </c>
      <c r="F87" s="11">
        <v>7.3169999999999999E-2</v>
      </c>
    </row>
    <row r="88" spans="1:6" x14ac:dyDescent="0.15">
      <c r="A88" s="5"/>
      <c r="B88" s="5"/>
      <c r="C88" s="5"/>
      <c r="D88" s="5"/>
      <c r="E88" s="5"/>
      <c r="F88" s="5"/>
    </row>
    <row r="89" spans="1:6" x14ac:dyDescent="0.15">
      <c r="A89" s="7" t="s">
        <v>219</v>
      </c>
      <c r="B89" s="5"/>
      <c r="C89" s="5"/>
      <c r="D89" s="5"/>
      <c r="E89" s="5"/>
      <c r="F89" s="5"/>
    </row>
    <row r="90" spans="1:6" x14ac:dyDescent="0.15">
      <c r="A90" s="5" t="s">
        <v>85</v>
      </c>
      <c r="B90" s="11">
        <v>-5.321E-2</v>
      </c>
      <c r="C90" s="11">
        <v>-1.4265999999999999E-2</v>
      </c>
      <c r="D90" s="11">
        <v>5.2830000000000002E-2</v>
      </c>
      <c r="E90" s="11">
        <v>6.6944000000000004E-2</v>
      </c>
      <c r="F90" s="11">
        <v>4.2368999999999997E-2</v>
      </c>
    </row>
    <row r="91" spans="1:6" x14ac:dyDescent="0.15">
      <c r="A91" s="5" t="s">
        <v>83</v>
      </c>
      <c r="B91" s="11">
        <v>-4.7599000000000002E-2</v>
      </c>
      <c r="C91" s="11">
        <v>-1.7748E-2</v>
      </c>
      <c r="D91" s="11">
        <v>-1.8709E-2</v>
      </c>
      <c r="E91" s="11">
        <v>3.8177000000000003E-2</v>
      </c>
      <c r="F91" s="11">
        <v>0.11366999999999999</v>
      </c>
    </row>
    <row r="92" spans="1:6" x14ac:dyDescent="0.15">
      <c r="A92" s="5" t="s">
        <v>216</v>
      </c>
      <c r="B92" s="11">
        <v>-1.9214999999999999E-2</v>
      </c>
      <c r="C92" s="11">
        <v>-2.6670000000000001E-3</v>
      </c>
      <c r="D92" s="11">
        <v>-9.1778999999999999E-2</v>
      </c>
      <c r="E92" s="11">
        <v>-7.3889999999999997E-3</v>
      </c>
      <c r="F92" s="11">
        <v>0.16853499999999999</v>
      </c>
    </row>
    <row r="93" spans="1:6" x14ac:dyDescent="0.15">
      <c r="A93" s="5" t="s">
        <v>215</v>
      </c>
      <c r="B93" s="11">
        <v>-2.2228999999999999E-2</v>
      </c>
      <c r="C93" s="11">
        <v>1.1832000000000001E-2</v>
      </c>
      <c r="D93" s="11">
        <v>-8.8457999999999995E-2</v>
      </c>
      <c r="E93" s="11">
        <v>1.2147E-2</v>
      </c>
      <c r="F93" s="11">
        <v>0.228296</v>
      </c>
    </row>
    <row r="94" spans="1:6" x14ac:dyDescent="0.15">
      <c r="A94" s="5" t="s">
        <v>214</v>
      </c>
      <c r="B94" s="11">
        <v>-2.4247000000000001E-2</v>
      </c>
      <c r="C94" s="11">
        <v>1.4616000000000001E-2</v>
      </c>
      <c r="D94" s="11">
        <v>-9.8502999999999993E-2</v>
      </c>
      <c r="E94" s="11">
        <v>1.7259E-2</v>
      </c>
      <c r="F94" s="11">
        <v>0.26648500000000003</v>
      </c>
    </row>
    <row r="95" spans="1:6" ht="12" x14ac:dyDescent="0.15">
      <c r="A95" s="5" t="s">
        <v>58</v>
      </c>
      <c r="B95" s="11" t="s">
        <v>30</v>
      </c>
      <c r="C95" s="11">
        <v>1.0239229999999999</v>
      </c>
      <c r="D95" s="11" t="s">
        <v>30</v>
      </c>
      <c r="E95" s="11">
        <v>-2.6172999999999998E-2</v>
      </c>
      <c r="F95" s="11" t="s">
        <v>30</v>
      </c>
    </row>
    <row r="96" spans="1:6" ht="12" x14ac:dyDescent="0.15">
      <c r="A96" s="5" t="s">
        <v>53</v>
      </c>
      <c r="B96" s="11" t="s">
        <v>30</v>
      </c>
      <c r="C96" s="11">
        <v>1.039839</v>
      </c>
      <c r="D96" s="11" t="s">
        <v>30</v>
      </c>
      <c r="E96" s="11">
        <v>-2.8649999999999998E-2</v>
      </c>
      <c r="F96" s="11" t="s">
        <v>30</v>
      </c>
    </row>
    <row r="97" spans="1:6" x14ac:dyDescent="0.15">
      <c r="A97" s="5" t="s">
        <v>213</v>
      </c>
      <c r="B97" s="11">
        <v>-4.8789999999999997E-3</v>
      </c>
      <c r="C97" s="11">
        <v>2.2849000000000001E-2</v>
      </c>
      <c r="D97" s="11">
        <v>-0.10646899999999999</v>
      </c>
      <c r="E97" s="11">
        <v>4.7296999999999999E-2</v>
      </c>
      <c r="F97" s="11">
        <v>0.29971500000000001</v>
      </c>
    </row>
    <row r="98" spans="1:6" ht="12" x14ac:dyDescent="0.15">
      <c r="A98" s="5" t="s">
        <v>212</v>
      </c>
      <c r="B98" s="11" t="s">
        <v>30</v>
      </c>
      <c r="C98" s="11">
        <v>1.040138</v>
      </c>
      <c r="D98" s="11" t="s">
        <v>30</v>
      </c>
      <c r="E98" s="11">
        <v>-2.7432999999999999E-2</v>
      </c>
      <c r="F98" s="11" t="s">
        <v>30</v>
      </c>
    </row>
    <row r="99" spans="1:6" x14ac:dyDescent="0.15">
      <c r="A99" s="5"/>
      <c r="B99" s="5"/>
      <c r="C99" s="5"/>
      <c r="D99" s="5"/>
      <c r="E99" s="5"/>
      <c r="F99" s="5"/>
    </row>
    <row r="100" spans="1:6" x14ac:dyDescent="0.15">
      <c r="A100" s="5" t="s">
        <v>211</v>
      </c>
      <c r="B100" s="11">
        <v>-0.13585900000000001</v>
      </c>
      <c r="C100" s="11">
        <v>-1.9310999999999998E-2</v>
      </c>
      <c r="D100" s="11">
        <v>0.16020200000000001</v>
      </c>
      <c r="E100" s="11">
        <v>5.6512E-2</v>
      </c>
      <c r="F100" s="11">
        <v>-3.2077000000000001E-2</v>
      </c>
    </row>
    <row r="101" spans="1:6" x14ac:dyDescent="0.15">
      <c r="A101" s="5" t="s">
        <v>210</v>
      </c>
      <c r="B101" s="11">
        <v>5.9484000000000002E-2</v>
      </c>
      <c r="C101" s="11">
        <v>0.143041</v>
      </c>
      <c r="D101" s="11">
        <v>9.2513999999999999E-2</v>
      </c>
      <c r="E101" s="11">
        <v>-1.493E-3</v>
      </c>
      <c r="F101" s="11">
        <v>-4.1931000000000003E-2</v>
      </c>
    </row>
    <row r="102" spans="1:6" x14ac:dyDescent="0.15">
      <c r="A102" s="5" t="s">
        <v>209</v>
      </c>
      <c r="B102" s="11">
        <v>-2.4362000000000002E-2</v>
      </c>
      <c r="C102" s="11">
        <v>-4.2323E-2</v>
      </c>
      <c r="D102" s="11">
        <v>-3.5400000000000002E-3</v>
      </c>
      <c r="E102" s="11">
        <v>3.7976999999999997E-2</v>
      </c>
      <c r="F102" s="11">
        <v>3.3188000000000002E-2</v>
      </c>
    </row>
    <row r="103" spans="1:6" x14ac:dyDescent="0.15">
      <c r="A103" s="5" t="s">
        <v>208</v>
      </c>
      <c r="B103" s="11">
        <v>-4.7260000000000003E-2</v>
      </c>
      <c r="C103" s="11">
        <v>-2.1734E-2</v>
      </c>
      <c r="D103" s="11">
        <v>-2.7129E-2</v>
      </c>
      <c r="E103" s="11">
        <v>-2.2778E-2</v>
      </c>
      <c r="F103" s="11">
        <v>3.7810000000000001E-3</v>
      </c>
    </row>
    <row r="104" spans="1:6" x14ac:dyDescent="0.15">
      <c r="A104" s="5"/>
      <c r="B104" s="5"/>
      <c r="C104" s="5"/>
      <c r="D104" s="5"/>
      <c r="E104" s="5"/>
      <c r="F104" s="5"/>
    </row>
    <row r="105" spans="1:6" ht="12" x14ac:dyDescent="0.15">
      <c r="A105" s="5" t="s">
        <v>207</v>
      </c>
      <c r="B105" s="11" t="s">
        <v>30</v>
      </c>
      <c r="C105" s="11" t="s">
        <v>30</v>
      </c>
      <c r="D105" s="11" t="s">
        <v>30</v>
      </c>
      <c r="E105" s="11" t="s">
        <v>30</v>
      </c>
      <c r="F105" s="11" t="s">
        <v>30</v>
      </c>
    </row>
    <row r="106" spans="1:6" x14ac:dyDescent="0.15">
      <c r="A106" s="5" t="s">
        <v>206</v>
      </c>
      <c r="B106" s="11">
        <v>-4.3221999999999997E-2</v>
      </c>
      <c r="C106" s="11">
        <v>-8.6000000000000003E-5</v>
      </c>
      <c r="D106" s="11">
        <v>1.3044E-2</v>
      </c>
      <c r="E106" s="11">
        <v>-8.2740000000000001E-3</v>
      </c>
      <c r="F106" s="11">
        <v>1.5743E-2</v>
      </c>
    </row>
    <row r="107" spans="1:6" x14ac:dyDescent="0.15">
      <c r="A107" s="5" t="s">
        <v>205</v>
      </c>
      <c r="B107" s="11">
        <v>-0.147145</v>
      </c>
      <c r="C107" s="11">
        <v>-8.9320999999999998E-2</v>
      </c>
      <c r="D107" s="11">
        <v>-5.8846999999999997E-2</v>
      </c>
      <c r="E107" s="11">
        <v>0.14946000000000001</v>
      </c>
      <c r="F107" s="11">
        <v>0.12775800000000001</v>
      </c>
    </row>
    <row r="108" spans="1:6" x14ac:dyDescent="0.15">
      <c r="A108" s="5" t="s">
        <v>204</v>
      </c>
      <c r="B108" s="11">
        <v>-6.0851000000000002E-2</v>
      </c>
      <c r="C108" s="11">
        <v>-6.1866999999999998E-2</v>
      </c>
      <c r="D108" s="11">
        <v>7.2689000000000004E-2</v>
      </c>
      <c r="E108" s="11">
        <v>0.133544</v>
      </c>
      <c r="F108" s="11">
        <v>9.5549999999999993E-3</v>
      </c>
    </row>
    <row r="109" spans="1:6" x14ac:dyDescent="0.15">
      <c r="A109" s="5" t="s">
        <v>203</v>
      </c>
      <c r="B109" s="11">
        <v>8.5660000000000007E-3</v>
      </c>
      <c r="C109" s="11">
        <v>-0.142233</v>
      </c>
      <c r="D109" s="11">
        <v>-0.20938799999999999</v>
      </c>
      <c r="E109" s="11">
        <v>0.21362900000000001</v>
      </c>
      <c r="F109" s="11">
        <v>0.18910099999999999</v>
      </c>
    </row>
    <row r="110" spans="1:6" x14ac:dyDescent="0.15">
      <c r="A110" s="5" t="s">
        <v>202</v>
      </c>
      <c r="B110" s="11">
        <v>1.078E-3</v>
      </c>
      <c r="C110" s="11">
        <v>-0.125165</v>
      </c>
      <c r="D110" s="11">
        <v>-0.18541099999999999</v>
      </c>
      <c r="E110" s="11">
        <v>0.174429</v>
      </c>
      <c r="F110" s="11">
        <v>0.168461</v>
      </c>
    </row>
    <row r="111" spans="1:6" x14ac:dyDescent="0.15">
      <c r="A111" s="5" t="s">
        <v>201</v>
      </c>
      <c r="B111" s="11">
        <v>-0.41045799999999999</v>
      </c>
      <c r="C111" s="11">
        <v>-0.41098600000000002</v>
      </c>
      <c r="D111" s="11">
        <v>0.63299300000000003</v>
      </c>
      <c r="E111" s="11">
        <v>0.55298599999999998</v>
      </c>
      <c r="F111" s="11">
        <v>7.6054999999999998E-2</v>
      </c>
    </row>
    <row r="112" spans="1:6" x14ac:dyDescent="0.15">
      <c r="A112" s="5"/>
      <c r="B112" s="5"/>
      <c r="C112" s="5"/>
      <c r="D112" s="5"/>
      <c r="E112" s="5"/>
      <c r="F112" s="5"/>
    </row>
    <row r="113" spans="1:6" x14ac:dyDescent="0.15">
      <c r="A113" s="7" t="s">
        <v>218</v>
      </c>
      <c r="B113" s="5"/>
      <c r="C113" s="5"/>
      <c r="D113" s="5"/>
      <c r="E113" s="5"/>
      <c r="F113" s="5"/>
    </row>
    <row r="114" spans="1:6" x14ac:dyDescent="0.15">
      <c r="A114" s="5" t="s">
        <v>85</v>
      </c>
      <c r="B114" s="11">
        <v>-4.2655999999999999E-2</v>
      </c>
      <c r="C114" s="11">
        <v>-1.5398999999999999E-2</v>
      </c>
      <c r="D114" s="11">
        <v>3.8170000000000001E-3</v>
      </c>
      <c r="E114" s="11">
        <v>6.6233E-2</v>
      </c>
      <c r="F114" s="11">
        <v>4.1907E-2</v>
      </c>
    </row>
    <row r="115" spans="1:6" x14ac:dyDescent="0.15">
      <c r="A115" s="5" t="s">
        <v>83</v>
      </c>
      <c r="B115" s="11">
        <v>-7.3062000000000002E-2</v>
      </c>
      <c r="C115" s="11">
        <v>-1.0578000000000001E-2</v>
      </c>
      <c r="D115" s="11">
        <v>-4.5345999999999997E-2</v>
      </c>
      <c r="E115" s="11">
        <v>4.7969999999999999E-2</v>
      </c>
      <c r="F115" s="11">
        <v>3.8010000000000002E-2</v>
      </c>
    </row>
    <row r="116" spans="1:6" x14ac:dyDescent="0.15">
      <c r="A116" s="5" t="s">
        <v>216</v>
      </c>
      <c r="B116" s="11">
        <v>-5.7260999999999999E-2</v>
      </c>
      <c r="C116" s="11">
        <v>4.3699999999999998E-3</v>
      </c>
      <c r="D116" s="11">
        <v>-7.9880999999999994E-2</v>
      </c>
      <c r="E116" s="11">
        <v>1.2427000000000001E-2</v>
      </c>
      <c r="F116" s="11">
        <v>2.2613000000000001E-2</v>
      </c>
    </row>
    <row r="117" spans="1:6" x14ac:dyDescent="0.15">
      <c r="A117" s="5" t="s">
        <v>215</v>
      </c>
      <c r="B117" s="11">
        <v>-7.8159999999999993E-2</v>
      </c>
      <c r="C117" s="11">
        <v>1.5617000000000001E-2</v>
      </c>
      <c r="D117" s="11">
        <v>-8.0923999999999996E-2</v>
      </c>
      <c r="E117" s="11">
        <v>3.9285E-2</v>
      </c>
      <c r="F117" s="11">
        <v>4.5879000000000003E-2</v>
      </c>
    </row>
    <row r="118" spans="1:6" x14ac:dyDescent="0.15">
      <c r="A118" s="5" t="s">
        <v>214</v>
      </c>
      <c r="B118" s="11">
        <v>-8.8118000000000002E-2</v>
      </c>
      <c r="C118" s="11">
        <v>1.9317000000000001E-2</v>
      </c>
      <c r="D118" s="11">
        <v>-9.0586E-2</v>
      </c>
      <c r="E118" s="11">
        <v>4.8022000000000002E-2</v>
      </c>
      <c r="F118" s="11">
        <v>5.4290999999999999E-2</v>
      </c>
    </row>
    <row r="119" spans="1:6" ht="12" x14ac:dyDescent="0.15">
      <c r="A119" s="5" t="s">
        <v>58</v>
      </c>
      <c r="B119" s="11" t="s">
        <v>30</v>
      </c>
      <c r="C119" s="11">
        <v>-3.8510999999999997E-2</v>
      </c>
      <c r="D119" s="11" t="s">
        <v>30</v>
      </c>
      <c r="E119" s="11" t="s">
        <v>30</v>
      </c>
      <c r="F119" s="11">
        <v>4.7064000000000002E-2</v>
      </c>
    </row>
    <row r="120" spans="1:6" ht="12" x14ac:dyDescent="0.15">
      <c r="A120" s="5" t="s">
        <v>53</v>
      </c>
      <c r="B120" s="11" t="s">
        <v>30</v>
      </c>
      <c r="C120" s="11">
        <v>-3.4238999999999999E-2</v>
      </c>
      <c r="D120" s="11" t="s">
        <v>30</v>
      </c>
      <c r="E120" s="11" t="s">
        <v>30</v>
      </c>
      <c r="F120" s="11">
        <v>3.7273000000000001E-2</v>
      </c>
    </row>
    <row r="121" spans="1:6" x14ac:dyDescent="0.15">
      <c r="A121" s="5" t="s">
        <v>213</v>
      </c>
      <c r="B121" s="11">
        <v>-8.1434000000000006E-2</v>
      </c>
      <c r="C121" s="11">
        <v>4.1611000000000002E-2</v>
      </c>
      <c r="D121" s="11">
        <v>-9.8791000000000004E-2</v>
      </c>
      <c r="E121" s="11">
        <v>7.7710000000000001E-2</v>
      </c>
      <c r="F121" s="11">
        <v>5.7263000000000001E-2</v>
      </c>
    </row>
    <row r="122" spans="1:6" ht="12" x14ac:dyDescent="0.15">
      <c r="A122" s="5" t="s">
        <v>212</v>
      </c>
      <c r="B122" s="11" t="s">
        <v>30</v>
      </c>
      <c r="C122" s="11">
        <v>-3.5553000000000001E-2</v>
      </c>
      <c r="D122" s="11" t="s">
        <v>30</v>
      </c>
      <c r="E122" s="11" t="s">
        <v>30</v>
      </c>
      <c r="F122" s="11">
        <v>5.0116000000000001E-2</v>
      </c>
    </row>
    <row r="123" spans="1:6" x14ac:dyDescent="0.15">
      <c r="A123" s="5"/>
      <c r="B123" s="5"/>
      <c r="C123" s="5"/>
      <c r="D123" s="5"/>
      <c r="E123" s="5"/>
      <c r="F123" s="5"/>
    </row>
    <row r="124" spans="1:6" x14ac:dyDescent="0.15">
      <c r="A124" s="5" t="s">
        <v>211</v>
      </c>
      <c r="B124" s="11">
        <v>-8.9571999999999999E-2</v>
      </c>
      <c r="C124" s="11">
        <v>-2.656E-2</v>
      </c>
      <c r="D124" s="11">
        <v>1.5758000000000001E-2</v>
      </c>
      <c r="E124" s="11">
        <v>0.11301899999999999</v>
      </c>
      <c r="F124" s="11">
        <v>6.9239999999999996E-3</v>
      </c>
    </row>
    <row r="125" spans="1:6" x14ac:dyDescent="0.15">
      <c r="A125" s="5" t="s">
        <v>210</v>
      </c>
      <c r="B125" s="11">
        <v>3.9448999999999998E-2</v>
      </c>
      <c r="C125" s="11">
        <v>0.107863</v>
      </c>
      <c r="D125" s="11">
        <v>8.7850999999999999E-2</v>
      </c>
      <c r="E125" s="11">
        <v>6.4937999999999996E-2</v>
      </c>
      <c r="F125" s="11">
        <v>-3.2926999999999998E-2</v>
      </c>
    </row>
    <row r="126" spans="1:6" x14ac:dyDescent="0.15">
      <c r="A126" s="5" t="s">
        <v>209</v>
      </c>
      <c r="B126" s="11">
        <v>-2.0917999999999999E-2</v>
      </c>
      <c r="C126" s="11">
        <v>-2.1947000000000001E-2</v>
      </c>
      <c r="D126" s="11">
        <v>-2.5125000000000001E-2</v>
      </c>
      <c r="E126" s="11">
        <v>1.9283999999999999E-2</v>
      </c>
      <c r="F126" s="11">
        <v>2.5468999999999999E-2</v>
      </c>
    </row>
    <row r="127" spans="1:6" x14ac:dyDescent="0.15">
      <c r="A127" s="5" t="s">
        <v>208</v>
      </c>
      <c r="B127" s="11">
        <v>-3.3224999999999998E-2</v>
      </c>
      <c r="C127" s="11">
        <v>-2.8372000000000001E-2</v>
      </c>
      <c r="D127" s="11">
        <v>-3.5819999999999998E-2</v>
      </c>
      <c r="E127" s="11">
        <v>-1.1797999999999999E-2</v>
      </c>
      <c r="F127" s="11">
        <v>-1.9127000000000002E-2</v>
      </c>
    </row>
    <row r="128" spans="1:6" x14ac:dyDescent="0.15">
      <c r="A128" s="5"/>
      <c r="B128" s="5"/>
      <c r="C128" s="5"/>
      <c r="D128" s="5"/>
      <c r="E128" s="5"/>
      <c r="F128" s="5"/>
    </row>
    <row r="129" spans="1:6" ht="12" x14ac:dyDescent="0.15">
      <c r="A129" s="5" t="s">
        <v>207</v>
      </c>
      <c r="B129" s="11" t="s">
        <v>30</v>
      </c>
      <c r="C129" s="11" t="s">
        <v>30</v>
      </c>
      <c r="D129" s="11" t="s">
        <v>30</v>
      </c>
      <c r="E129" s="11" t="s">
        <v>30</v>
      </c>
      <c r="F129" s="11" t="s">
        <v>30</v>
      </c>
    </row>
    <row r="130" spans="1:6" x14ac:dyDescent="0.15">
      <c r="A130" s="5" t="s">
        <v>206</v>
      </c>
      <c r="B130" s="11">
        <v>-1.601E-2</v>
      </c>
      <c r="C130" s="11">
        <v>-2.2339999999999999E-3</v>
      </c>
      <c r="D130" s="11">
        <v>-1.8464999999999999E-2</v>
      </c>
      <c r="E130" s="11">
        <v>2.1918E-2</v>
      </c>
      <c r="F130" s="11">
        <v>-8.1329999999999996E-3</v>
      </c>
    </row>
    <row r="131" spans="1:6" x14ac:dyDescent="0.15">
      <c r="A131" s="5" t="s">
        <v>205</v>
      </c>
      <c r="B131" s="11">
        <v>-3.1448999999999998E-2</v>
      </c>
      <c r="C131" s="11">
        <v>-0.122819</v>
      </c>
      <c r="D131" s="11">
        <v>-7.4923000000000003E-2</v>
      </c>
      <c r="E131" s="11">
        <v>7.0291000000000006E-2</v>
      </c>
      <c r="F131" s="11">
        <v>6.6788E-2</v>
      </c>
    </row>
    <row r="132" spans="1:6" x14ac:dyDescent="0.15">
      <c r="A132" s="5" t="s">
        <v>204</v>
      </c>
      <c r="B132" s="11">
        <v>-1.3982E-2</v>
      </c>
      <c r="C132" s="11">
        <v>-7.0946999999999996E-2</v>
      </c>
      <c r="D132" s="11">
        <v>3.6592E-2</v>
      </c>
      <c r="E132" s="11">
        <v>5.3197000000000001E-2</v>
      </c>
      <c r="F132" s="11">
        <v>8.8557999999999998E-2</v>
      </c>
    </row>
    <row r="133" spans="1:6" x14ac:dyDescent="0.15">
      <c r="A133" s="5" t="s">
        <v>203</v>
      </c>
      <c r="B133" s="11">
        <v>-5.6512E-2</v>
      </c>
      <c r="C133" s="11">
        <v>-8.2664000000000001E-2</v>
      </c>
      <c r="D133" s="11">
        <v>-0.153754</v>
      </c>
      <c r="E133" s="11">
        <v>3.7805999999999999E-2</v>
      </c>
      <c r="F133" s="11">
        <v>5.2114000000000001E-2</v>
      </c>
    </row>
    <row r="134" spans="1:6" x14ac:dyDescent="0.15">
      <c r="A134" s="5" t="s">
        <v>202</v>
      </c>
      <c r="B134" s="11">
        <v>-5.6600999999999999E-2</v>
      </c>
      <c r="C134" s="11">
        <v>-7.6794000000000001E-2</v>
      </c>
      <c r="D134" s="11">
        <v>-0.135184</v>
      </c>
      <c r="E134" s="11">
        <v>2.6922999999999999E-2</v>
      </c>
      <c r="F134" s="11">
        <v>4.8855999999999997E-2</v>
      </c>
    </row>
    <row r="135" spans="1:6" x14ac:dyDescent="0.15">
      <c r="A135" s="5" t="s">
        <v>201</v>
      </c>
      <c r="B135" s="11">
        <v>-0.29691200000000001</v>
      </c>
      <c r="C135" s="11">
        <v>-0.25431599999999999</v>
      </c>
      <c r="D135" s="11">
        <v>-8.1253000000000006E-2</v>
      </c>
      <c r="E135" s="11">
        <v>0.42229499999999998</v>
      </c>
      <c r="F135" s="11">
        <v>0.37299199999999999</v>
      </c>
    </row>
    <row r="136" spans="1:6" x14ac:dyDescent="0.15">
      <c r="A136" s="5"/>
      <c r="B136" s="5"/>
      <c r="C136" s="5"/>
      <c r="D136" s="5"/>
      <c r="E136" s="5"/>
      <c r="F136" s="5"/>
    </row>
    <row r="137" spans="1:6" x14ac:dyDescent="0.15">
      <c r="A137" s="7" t="s">
        <v>217</v>
      </c>
      <c r="B137" s="5"/>
      <c r="C137" s="5"/>
      <c r="D137" s="5"/>
      <c r="E137" s="5"/>
      <c r="F137" s="5"/>
    </row>
    <row r="138" spans="1:6" x14ac:dyDescent="0.15">
      <c r="A138" s="5" t="s">
        <v>85</v>
      </c>
      <c r="B138" s="11">
        <v>0.220306</v>
      </c>
      <c r="C138" s="11">
        <v>0.160441</v>
      </c>
      <c r="D138" s="11">
        <v>-5.5469999999999998E-3</v>
      </c>
      <c r="E138" s="11">
        <v>1.6747000000000001E-2</v>
      </c>
      <c r="F138" s="11">
        <v>1.9064000000000001E-2</v>
      </c>
    </row>
    <row r="139" spans="1:6" x14ac:dyDescent="0.15">
      <c r="A139" s="5" t="s">
        <v>83</v>
      </c>
      <c r="B139" s="11">
        <v>0.214613</v>
      </c>
      <c r="C139" s="11">
        <v>0.15547</v>
      </c>
      <c r="D139" s="11">
        <v>-5.1692000000000002E-2</v>
      </c>
      <c r="E139" s="11">
        <v>8.6429999999999996E-3</v>
      </c>
      <c r="F139" s="11">
        <v>1.5337E-2</v>
      </c>
    </row>
    <row r="140" spans="1:6" x14ac:dyDescent="0.15">
      <c r="A140" s="5" t="s">
        <v>216</v>
      </c>
      <c r="B140" s="11">
        <v>0.26850099999999999</v>
      </c>
      <c r="C140" s="11">
        <v>0.21810599999999999</v>
      </c>
      <c r="D140" s="11">
        <v>-7.1221999999999994E-2</v>
      </c>
      <c r="E140" s="11">
        <v>-3.5E-4</v>
      </c>
      <c r="F140" s="11">
        <v>1.2426E-2</v>
      </c>
    </row>
    <row r="141" spans="1:6" x14ac:dyDescent="0.15">
      <c r="A141" s="5" t="s">
        <v>215</v>
      </c>
      <c r="B141" s="11">
        <v>0.29940299999999997</v>
      </c>
      <c r="C141" s="11">
        <v>0.25353399999999998</v>
      </c>
      <c r="D141" s="11">
        <v>-8.2293000000000005E-2</v>
      </c>
      <c r="E141" s="11">
        <v>1.4227999999999999E-2</v>
      </c>
      <c r="F141" s="11">
        <v>3.2125000000000001E-2</v>
      </c>
    </row>
    <row r="142" spans="1:6" x14ac:dyDescent="0.15">
      <c r="A142" s="5" t="s">
        <v>214</v>
      </c>
      <c r="B142" s="11">
        <v>0.27988000000000002</v>
      </c>
      <c r="C142" s="11">
        <v>0.25947599999999998</v>
      </c>
      <c r="D142" s="11">
        <v>-9.2286000000000007E-2</v>
      </c>
      <c r="E142" s="11">
        <v>1.8492999999999999E-2</v>
      </c>
      <c r="F142" s="11">
        <v>3.8238000000000001E-2</v>
      </c>
    </row>
    <row r="143" spans="1:6" ht="12" x14ac:dyDescent="0.15">
      <c r="A143" s="5" t="s">
        <v>58</v>
      </c>
      <c r="B143" s="11" t="s">
        <v>30</v>
      </c>
      <c r="C143" s="11">
        <v>-8.8152999999999995E-2</v>
      </c>
      <c r="D143" s="11" t="s">
        <v>30</v>
      </c>
      <c r="E143" s="11">
        <v>-3.3595E-2</v>
      </c>
      <c r="F143" s="11">
        <v>0.36289199999999999</v>
      </c>
    </row>
    <row r="144" spans="1:6" ht="12" x14ac:dyDescent="0.15">
      <c r="A144" s="5" t="s">
        <v>53</v>
      </c>
      <c r="B144" s="11" t="s">
        <v>30</v>
      </c>
      <c r="C144" s="11">
        <v>-8.7985999999999995E-2</v>
      </c>
      <c r="D144" s="11" t="s">
        <v>30</v>
      </c>
      <c r="E144" s="11">
        <v>-3.2007000000000001E-2</v>
      </c>
      <c r="F144" s="11">
        <v>0.35948400000000003</v>
      </c>
    </row>
    <row r="145" spans="1:6" x14ac:dyDescent="0.15">
      <c r="A145" s="5" t="s">
        <v>213</v>
      </c>
      <c r="B145" s="11">
        <v>6.7013000000000003E-2</v>
      </c>
      <c r="C145" s="11">
        <v>0.115536</v>
      </c>
      <c r="D145" s="11">
        <v>-9.1531000000000001E-2</v>
      </c>
      <c r="E145" s="11">
        <v>4.3881999999999997E-2</v>
      </c>
      <c r="F145" s="11">
        <v>4.3360999999999997E-2</v>
      </c>
    </row>
    <row r="146" spans="1:6" ht="12" x14ac:dyDescent="0.15">
      <c r="A146" s="5" t="s">
        <v>212</v>
      </c>
      <c r="B146" s="11" t="s">
        <v>30</v>
      </c>
      <c r="C146" s="11">
        <v>-9.1627E-2</v>
      </c>
      <c r="D146" s="11" t="s">
        <v>30</v>
      </c>
      <c r="E146" s="11">
        <v>-3.2313000000000001E-2</v>
      </c>
      <c r="F146" s="11">
        <v>0.369639</v>
      </c>
    </row>
    <row r="147" spans="1:6" x14ac:dyDescent="0.15">
      <c r="A147" s="5"/>
      <c r="B147" s="5"/>
      <c r="C147" s="5"/>
      <c r="D147" s="5"/>
      <c r="E147" s="5"/>
      <c r="F147" s="5"/>
    </row>
    <row r="148" spans="1:6" x14ac:dyDescent="0.15">
      <c r="A148" s="5" t="s">
        <v>211</v>
      </c>
      <c r="B148" s="11">
        <v>5.2914000000000003E-2</v>
      </c>
      <c r="C148" s="11">
        <v>2.7920000000000002E-3</v>
      </c>
      <c r="D148" s="11">
        <v>3.1380000000000002E-3</v>
      </c>
      <c r="E148" s="11">
        <v>5.855E-3</v>
      </c>
      <c r="F148" s="11">
        <v>-3.653E-3</v>
      </c>
    </row>
    <row r="149" spans="1:6" x14ac:dyDescent="0.15">
      <c r="A149" s="5" t="s">
        <v>210</v>
      </c>
      <c r="B149" s="11">
        <v>0.29944199999999999</v>
      </c>
      <c r="C149" s="11">
        <v>6.3064999999999996E-2</v>
      </c>
      <c r="D149" s="11">
        <v>6.0358000000000002E-2</v>
      </c>
      <c r="E149" s="11">
        <v>6.2753000000000003E-2</v>
      </c>
      <c r="F149" s="11">
        <v>3.3952000000000003E-2</v>
      </c>
    </row>
    <row r="150" spans="1:6" x14ac:dyDescent="0.15">
      <c r="A150" s="5" t="s">
        <v>209</v>
      </c>
      <c r="B150" s="11">
        <v>0.22489999999999999</v>
      </c>
      <c r="C150" s="11">
        <v>-8.848E-3</v>
      </c>
      <c r="D150" s="11">
        <v>-1.4004000000000001E-2</v>
      </c>
      <c r="E150" s="11">
        <v>1.596E-3</v>
      </c>
      <c r="F150" s="11">
        <v>-2.2049999999999999E-3</v>
      </c>
    </row>
    <row r="151" spans="1:6" x14ac:dyDescent="0.15">
      <c r="A151" s="5" t="s">
        <v>208</v>
      </c>
      <c r="B151" s="11">
        <v>0.173594</v>
      </c>
      <c r="C151" s="11">
        <v>-1.2026999999999999E-2</v>
      </c>
      <c r="D151" s="11">
        <v>-3.0790999999999999E-2</v>
      </c>
      <c r="E151" s="11">
        <v>-2.6138999999999999E-2</v>
      </c>
      <c r="F151" s="11">
        <v>-2.017E-2</v>
      </c>
    </row>
    <row r="152" spans="1:6" x14ac:dyDescent="0.15">
      <c r="A152" s="5"/>
      <c r="B152" s="5"/>
      <c r="C152" s="5"/>
      <c r="D152" s="5"/>
      <c r="E152" s="5"/>
      <c r="F152" s="5"/>
    </row>
    <row r="153" spans="1:6" ht="12" x14ac:dyDescent="0.15">
      <c r="A153" s="5" t="s">
        <v>207</v>
      </c>
      <c r="B153" s="11" t="s">
        <v>30</v>
      </c>
      <c r="C153" s="11" t="s">
        <v>30</v>
      </c>
      <c r="D153" s="11" t="s">
        <v>30</v>
      </c>
      <c r="E153" s="11" t="s">
        <v>30</v>
      </c>
      <c r="F153" s="11" t="s">
        <v>30</v>
      </c>
    </row>
    <row r="154" spans="1:6" x14ac:dyDescent="0.15">
      <c r="A154" s="5" t="s">
        <v>206</v>
      </c>
      <c r="B154" s="11">
        <v>0.119147</v>
      </c>
      <c r="C154" s="11">
        <v>3.2780999999999998E-2</v>
      </c>
      <c r="D154" s="11">
        <v>-4.4889999999999999E-3</v>
      </c>
      <c r="E154" s="11">
        <v>-4.6540000000000002E-3</v>
      </c>
      <c r="F154" s="11">
        <v>-4.9220000000000002E-3</v>
      </c>
    </row>
    <row r="155" spans="1:6" x14ac:dyDescent="0.15">
      <c r="A155" s="5" t="s">
        <v>205</v>
      </c>
      <c r="B155" s="11">
        <v>0.18822700000000001</v>
      </c>
      <c r="C155" s="11">
        <v>6.9045999999999996E-2</v>
      </c>
      <c r="D155" s="11">
        <v>-4.2502999999999999E-2</v>
      </c>
      <c r="E155" s="11">
        <v>-2.2647E-2</v>
      </c>
      <c r="F155" s="11">
        <v>1.366E-3</v>
      </c>
    </row>
    <row r="156" spans="1:6" x14ac:dyDescent="0.15">
      <c r="A156" s="5" t="s">
        <v>204</v>
      </c>
      <c r="B156" s="11">
        <v>0.15887499999999999</v>
      </c>
      <c r="C156" s="11">
        <v>8.8627999999999998E-2</v>
      </c>
      <c r="D156" s="11">
        <v>1.9813000000000001E-2</v>
      </c>
      <c r="E156" s="11">
        <v>6.0039999999999998E-3</v>
      </c>
      <c r="F156" s="11">
        <v>2.5692E-2</v>
      </c>
    </row>
    <row r="157" spans="1:6" x14ac:dyDescent="0.15">
      <c r="A157" s="5" t="s">
        <v>203</v>
      </c>
      <c r="B157" s="11">
        <v>0.84123000000000003</v>
      </c>
      <c r="C157" s="11">
        <v>6.5319999999999996E-3</v>
      </c>
      <c r="D157" s="11">
        <v>-0.120922</v>
      </c>
      <c r="E157" s="11">
        <v>2.6009999999999998E-2</v>
      </c>
      <c r="F157" s="11">
        <v>-3.0415999999999999E-2</v>
      </c>
    </row>
    <row r="158" spans="1:6" x14ac:dyDescent="0.15">
      <c r="A158" s="5" t="s">
        <v>202</v>
      </c>
      <c r="B158" s="11">
        <v>0.60567300000000002</v>
      </c>
      <c r="C158" s="11">
        <v>1.7287E-2</v>
      </c>
      <c r="D158" s="11">
        <v>-0.110404</v>
      </c>
      <c r="E158" s="11">
        <v>1.6506E-2</v>
      </c>
      <c r="F158" s="11">
        <v>-2.4560999999999999E-2</v>
      </c>
    </row>
    <row r="159" spans="1:6" x14ac:dyDescent="0.15">
      <c r="A159" s="5" t="s">
        <v>201</v>
      </c>
      <c r="B159" s="11">
        <v>-0.19051999999999999</v>
      </c>
      <c r="C159" s="11">
        <v>-0.161442</v>
      </c>
      <c r="D159" s="11">
        <v>-1.5082E-2</v>
      </c>
      <c r="E159" s="11">
        <v>0</v>
      </c>
      <c r="F159" s="11">
        <v>-2.1295999999999999E-2</v>
      </c>
    </row>
    <row r="160" spans="1:6" x14ac:dyDescent="0.15">
      <c r="A160" s="5"/>
      <c r="B160" s="5"/>
      <c r="C160" s="5"/>
      <c r="D160" s="5"/>
      <c r="E160" s="5"/>
      <c r="F160" s="5"/>
    </row>
    <row r="161" spans="1:6" ht="72" x14ac:dyDescent="0.15">
      <c r="A161" s="35" t="s">
        <v>0</v>
      </c>
      <c r="B161" s="3"/>
      <c r="C161" s="3"/>
      <c r="D161" s="3"/>
      <c r="E161" s="3"/>
      <c r="F161" s="3"/>
    </row>
  </sheetData>
  <pageMargins left="0.2" right="0.2" top="0.5" bottom="0.5" header="0.5" footer="0.5"/>
  <pageSetup fitToWidth="0" fitToHeight="0" orientation="landscape" horizontalDpi="0" verticalDpi="0"/>
  <headerFooter alignWithMargins="0"/>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C2ED7-68ED-1C42-B02A-0D2DD226A1A7}">
  <sheetPr codeName="Sheet7">
    <outlinePr summaryBelow="0" summaryRight="0"/>
    <pageSetUpPr autoPageBreaks="0"/>
  </sheetPr>
  <dimension ref="A5:IT161"/>
  <sheetViews>
    <sheetView zoomScale="139" workbookViewId="0">
      <selection activeCell="A55" sqref="A55"/>
    </sheetView>
  </sheetViews>
  <sheetFormatPr baseColWidth="10" defaultColWidth="10.83203125" defaultRowHeight="11" x14ac:dyDescent="0.15"/>
  <cols>
    <col min="1" max="1" width="45.83203125" style="1" customWidth="1"/>
    <col min="2" max="6" width="14.83203125" style="1" customWidth="1"/>
    <col min="7" max="255" width="8.83203125" style="1" customWidth="1"/>
    <col min="256" max="16384" width="10.83203125" style="1"/>
  </cols>
  <sheetData>
    <row r="5" spans="1:254" ht="17" x14ac:dyDescent="0.2">
      <c r="A5" s="23" t="s">
        <v>262</v>
      </c>
    </row>
    <row r="7" spans="1:254" x14ac:dyDescent="0.15">
      <c r="A7" s="5"/>
      <c r="B7" s="20" t="s">
        <v>114</v>
      </c>
      <c r="C7" s="1" t="s">
        <v>113</v>
      </c>
      <c r="D7" s="5" t="s">
        <v>98</v>
      </c>
      <c r="E7" s="20" t="s">
        <v>112</v>
      </c>
      <c r="F7" s="1" t="s">
        <v>111</v>
      </c>
    </row>
    <row r="8" spans="1:254" x14ac:dyDescent="0.15">
      <c r="A8" s="5"/>
      <c r="B8" s="20" t="s">
        <v>110</v>
      </c>
      <c r="C8" s="1" t="s">
        <v>109</v>
      </c>
      <c r="D8" s="5" t="s">
        <v>98</v>
      </c>
      <c r="E8" s="20" t="s">
        <v>102</v>
      </c>
      <c r="F8" s="21" t="s">
        <v>101</v>
      </c>
    </row>
    <row r="9" spans="1:254" x14ac:dyDescent="0.15">
      <c r="A9" s="5"/>
      <c r="B9" s="20" t="s">
        <v>100</v>
      </c>
      <c r="C9" s="1" t="s">
        <v>99</v>
      </c>
      <c r="D9" s="5" t="s">
        <v>98</v>
      </c>
      <c r="E9" s="19"/>
      <c r="F9" s="19"/>
    </row>
    <row r="12" spans="1:254" x14ac:dyDescent="0.15">
      <c r="A12" s="18" t="s">
        <v>261</v>
      </c>
      <c r="B12" s="18"/>
      <c r="C12" s="18"/>
      <c r="D12" s="18"/>
      <c r="E12" s="18"/>
      <c r="F12" s="18"/>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c r="IK12" s="17"/>
      <c r="IL12" s="17"/>
      <c r="IM12" s="17"/>
      <c r="IN12" s="17"/>
      <c r="IO12" s="17"/>
      <c r="IP12" s="17"/>
      <c r="IQ12" s="17"/>
      <c r="IR12" s="17"/>
      <c r="IS12" s="17"/>
      <c r="IT12" s="17"/>
    </row>
    <row r="13" spans="1:254" ht="24" x14ac:dyDescent="0.15">
      <c r="A13" s="27" t="s">
        <v>96</v>
      </c>
      <c r="B13" s="28">
        <v>2020</v>
      </c>
      <c r="C13" s="28">
        <v>2021</v>
      </c>
      <c r="D13" s="28">
        <v>2022</v>
      </c>
      <c r="E13" s="28">
        <v>2023</v>
      </c>
      <c r="F13" s="28">
        <v>2024</v>
      </c>
    </row>
    <row r="14" spans="1:254" x14ac:dyDescent="0.15">
      <c r="A14" s="7" t="s">
        <v>195</v>
      </c>
      <c r="B14" s="5"/>
      <c r="C14" s="5"/>
      <c r="D14" s="5"/>
      <c r="E14" s="5"/>
      <c r="F14" s="5"/>
    </row>
    <row r="15" spans="1:254" x14ac:dyDescent="0.15">
      <c r="A15" s="5" t="s">
        <v>260</v>
      </c>
      <c r="B15" s="11">
        <v>2.7428999999999999E-2</v>
      </c>
      <c r="C15" s="11">
        <v>4.1702000000000003E-2</v>
      </c>
      <c r="D15" s="11">
        <v>4.9935E-2</v>
      </c>
      <c r="E15" s="11">
        <v>4.4266E-2</v>
      </c>
      <c r="F15" s="11">
        <v>4.4169E-2</v>
      </c>
    </row>
    <row r="16" spans="1:254" x14ac:dyDescent="0.15">
      <c r="A16" s="5" t="s">
        <v>259</v>
      </c>
      <c r="B16" s="11">
        <v>3.6519000000000003E-2</v>
      </c>
      <c r="C16" s="11">
        <v>5.5161000000000002E-2</v>
      </c>
      <c r="D16" s="11">
        <v>6.7532999999999996E-2</v>
      </c>
      <c r="E16" s="11">
        <v>6.0021999999999999E-2</v>
      </c>
      <c r="F16" s="11">
        <v>5.9783000000000003E-2</v>
      </c>
    </row>
    <row r="17" spans="1:6" x14ac:dyDescent="0.15">
      <c r="A17" s="5" t="s">
        <v>258</v>
      </c>
      <c r="B17" s="11">
        <v>-5.5510000000000004E-3</v>
      </c>
      <c r="C17" s="11">
        <v>0.20738000000000001</v>
      </c>
      <c r="D17" s="11">
        <v>0.146035</v>
      </c>
      <c r="E17" s="11">
        <v>0.107405</v>
      </c>
      <c r="F17" s="11">
        <v>5.1381000000000003E-2</v>
      </c>
    </row>
    <row r="18" spans="1:6" x14ac:dyDescent="0.15">
      <c r="A18" s="5" t="s">
        <v>257</v>
      </c>
      <c r="B18" s="11">
        <v>-1.3812E-2</v>
      </c>
      <c r="C18" s="11">
        <v>0.21620900000000001</v>
      </c>
      <c r="D18" s="11">
        <v>0.14533799999999999</v>
      </c>
      <c r="E18" s="11">
        <v>0.116343</v>
      </c>
      <c r="F18" s="11">
        <v>4.9347000000000002E-2</v>
      </c>
    </row>
    <row r="19" spans="1:6" x14ac:dyDescent="0.15">
      <c r="A19" s="5"/>
      <c r="B19" s="5"/>
      <c r="C19" s="5"/>
      <c r="D19" s="5"/>
      <c r="E19" s="5"/>
      <c r="F19" s="5"/>
    </row>
    <row r="20" spans="1:6" x14ac:dyDescent="0.15">
      <c r="A20" s="7" t="s">
        <v>256</v>
      </c>
      <c r="B20" s="5"/>
      <c r="C20" s="5"/>
      <c r="D20" s="5"/>
      <c r="E20" s="5"/>
      <c r="F20" s="5"/>
    </row>
    <row r="21" spans="1:6" x14ac:dyDescent="0.15">
      <c r="A21" s="5" t="s">
        <v>255</v>
      </c>
      <c r="B21" s="11">
        <v>0.37864500000000001</v>
      </c>
      <c r="C21" s="11">
        <v>0.39264300000000002</v>
      </c>
      <c r="D21" s="11">
        <v>0.36202499999999999</v>
      </c>
      <c r="E21" s="11">
        <v>0.35251300000000002</v>
      </c>
      <c r="F21" s="11">
        <v>0.36390400000000001</v>
      </c>
    </row>
    <row r="22" spans="1:6" x14ac:dyDescent="0.15">
      <c r="A22" s="5" t="s">
        <v>254</v>
      </c>
      <c r="B22" s="11">
        <v>0.17697099999999999</v>
      </c>
      <c r="C22" s="11">
        <v>0.163802</v>
      </c>
      <c r="D22" s="11">
        <v>0.14412</v>
      </c>
      <c r="E22" s="11">
        <v>0.144654</v>
      </c>
      <c r="F22" s="11">
        <v>0.15160399999999999</v>
      </c>
    </row>
    <row r="23" spans="1:6" x14ac:dyDescent="0.15">
      <c r="A23" s="5" t="s">
        <v>253</v>
      </c>
      <c r="B23" s="11">
        <v>0.17798600000000001</v>
      </c>
      <c r="C23" s="11">
        <v>0.20705499999999999</v>
      </c>
      <c r="D23" s="11">
        <v>0.198161</v>
      </c>
      <c r="E23" s="11">
        <v>0.180949</v>
      </c>
      <c r="F23" s="11">
        <v>0.19124099999999999</v>
      </c>
    </row>
    <row r="24" spans="1:6" x14ac:dyDescent="0.15">
      <c r="A24" s="5" t="s">
        <v>252</v>
      </c>
      <c r="B24" s="11">
        <v>0.113264</v>
      </c>
      <c r="C24" s="11">
        <v>0.152089</v>
      </c>
      <c r="D24" s="11">
        <v>0.15237200000000001</v>
      </c>
      <c r="E24" s="11">
        <v>0.135992</v>
      </c>
      <c r="F24" s="11">
        <v>0.13953199999999999</v>
      </c>
    </row>
    <row r="25" spans="1:6" x14ac:dyDescent="0.15">
      <c r="A25" s="5" t="s">
        <v>251</v>
      </c>
      <c r="B25" s="11">
        <v>9.9212999999999996E-2</v>
      </c>
      <c r="C25" s="11">
        <v>0.1391</v>
      </c>
      <c r="D25" s="11">
        <v>0.140847</v>
      </c>
      <c r="E25" s="11">
        <v>0.12545200000000001</v>
      </c>
      <c r="F25" s="11">
        <v>0.12906999999999999</v>
      </c>
    </row>
    <row r="26" spans="1:6" x14ac:dyDescent="0.15">
      <c r="A26" s="5" t="s">
        <v>250</v>
      </c>
      <c r="B26" s="11">
        <v>-4.463E-3</v>
      </c>
      <c r="C26" s="11">
        <v>0.16111300000000001</v>
      </c>
      <c r="D26" s="11">
        <v>0.105818</v>
      </c>
      <c r="E26" s="11">
        <v>7.9078999999999997E-2</v>
      </c>
      <c r="F26" s="11">
        <v>3.8932000000000001E-2</v>
      </c>
    </row>
    <row r="27" spans="1:6" x14ac:dyDescent="0.15">
      <c r="A27" s="5" t="s">
        <v>249</v>
      </c>
      <c r="B27" s="11">
        <v>-1.0347E-2</v>
      </c>
      <c r="C27" s="11">
        <v>0.15149699999999999</v>
      </c>
      <c r="D27" s="11">
        <v>9.3386999999999998E-2</v>
      </c>
      <c r="E27" s="11">
        <v>7.5883999999999993E-2</v>
      </c>
      <c r="F27" s="11">
        <v>3.2794999999999998E-2</v>
      </c>
    </row>
    <row r="28" spans="1:6" x14ac:dyDescent="0.15">
      <c r="A28" s="5" t="s">
        <v>248</v>
      </c>
      <c r="B28" s="11">
        <v>-1.0347E-2</v>
      </c>
      <c r="C28" s="11">
        <v>0.15149699999999999</v>
      </c>
      <c r="D28" s="11">
        <v>9.3386999999999998E-2</v>
      </c>
      <c r="E28" s="11">
        <v>7.5883999999999993E-2</v>
      </c>
      <c r="F28" s="11">
        <v>3.2794999999999998E-2</v>
      </c>
    </row>
    <row r="29" spans="1:6" x14ac:dyDescent="0.15">
      <c r="A29" s="5" t="s">
        <v>247</v>
      </c>
      <c r="B29" s="11">
        <v>3.6691000000000001E-2</v>
      </c>
      <c r="C29" s="11">
        <v>7.6295000000000002E-2</v>
      </c>
      <c r="D29" s="11">
        <v>7.1137000000000006E-2</v>
      </c>
      <c r="E29" s="11">
        <v>6.1709E-2</v>
      </c>
      <c r="F29" s="11">
        <v>4.3073E-2</v>
      </c>
    </row>
    <row r="30" spans="1:6" x14ac:dyDescent="0.15">
      <c r="A30" s="5" t="s">
        <v>246</v>
      </c>
      <c r="B30" s="11">
        <v>7.4098999999999998E-2</v>
      </c>
      <c r="C30" s="11">
        <v>0.100576</v>
      </c>
      <c r="D30" s="11">
        <v>7.7539999999999998E-2</v>
      </c>
      <c r="E30" s="11">
        <v>1.9979E-2</v>
      </c>
      <c r="F30" s="11">
        <v>8.9487999999999998E-2</v>
      </c>
    </row>
    <row r="31" spans="1:6" x14ac:dyDescent="0.15">
      <c r="A31" s="5" t="s">
        <v>245</v>
      </c>
      <c r="B31" s="11">
        <v>8.9855000000000004E-2</v>
      </c>
      <c r="C31" s="11">
        <v>0.113736</v>
      </c>
      <c r="D31" s="11">
        <v>8.7507000000000001E-2</v>
      </c>
      <c r="E31" s="11">
        <v>3.3154000000000003E-2</v>
      </c>
      <c r="F31" s="11">
        <v>0.103739</v>
      </c>
    </row>
    <row r="32" spans="1:6" x14ac:dyDescent="0.15">
      <c r="A32" s="5"/>
      <c r="B32" s="5"/>
      <c r="C32" s="5"/>
      <c r="D32" s="5"/>
      <c r="E32" s="5"/>
      <c r="F32" s="5"/>
    </row>
    <row r="33" spans="1:6" x14ac:dyDescent="0.15">
      <c r="A33" s="7" t="s">
        <v>198</v>
      </c>
      <c r="B33" s="5"/>
      <c r="C33" s="5"/>
      <c r="D33" s="5"/>
      <c r="E33" s="5"/>
      <c r="F33" s="5"/>
    </row>
    <row r="34" spans="1:6" x14ac:dyDescent="0.15">
      <c r="A34" s="5" t="s">
        <v>244</v>
      </c>
      <c r="B34" s="36">
        <v>0.442357</v>
      </c>
      <c r="C34" s="36">
        <v>0.47967900000000002</v>
      </c>
      <c r="D34" s="36">
        <v>0.56725499999999995</v>
      </c>
      <c r="E34" s="36">
        <v>0.56456399999999995</v>
      </c>
      <c r="F34" s="36">
        <v>0.54754599999999998</v>
      </c>
    </row>
    <row r="35" spans="1:6" x14ac:dyDescent="0.15">
      <c r="A35" s="5" t="s">
        <v>243</v>
      </c>
      <c r="B35" s="36">
        <v>1.588638</v>
      </c>
      <c r="C35" s="36">
        <v>1.8320799999999999</v>
      </c>
      <c r="D35" s="36">
        <v>2.2071160000000001</v>
      </c>
      <c r="E35" s="36">
        <v>2.1385450000000001</v>
      </c>
      <c r="F35" s="36">
        <v>2.025264</v>
      </c>
    </row>
    <row r="36" spans="1:6" x14ac:dyDescent="0.15">
      <c r="A36" s="5" t="s">
        <v>242</v>
      </c>
      <c r="B36" s="36">
        <v>8.3662209999999995</v>
      </c>
      <c r="C36" s="36">
        <v>10.505625999999999</v>
      </c>
      <c r="D36" s="36">
        <v>10.426211</v>
      </c>
      <c r="E36" s="36">
        <v>9.347906</v>
      </c>
      <c r="F36" s="36">
        <v>9.1742799999999995</v>
      </c>
    </row>
    <row r="37" spans="1:6" x14ac:dyDescent="0.15">
      <c r="A37" s="5" t="s">
        <v>241</v>
      </c>
      <c r="B37" s="36">
        <v>5.8738910000000004</v>
      </c>
      <c r="C37" s="36">
        <v>6.0627839999999997</v>
      </c>
      <c r="D37" s="36">
        <v>6.4423339999999998</v>
      </c>
      <c r="E37" s="36">
        <v>5.6402229999999998</v>
      </c>
      <c r="F37" s="36">
        <v>5.2019739999999999</v>
      </c>
    </row>
    <row r="38" spans="1:6" x14ac:dyDescent="0.15">
      <c r="A38" s="5"/>
      <c r="B38" s="5"/>
      <c r="C38" s="5"/>
      <c r="D38" s="5"/>
      <c r="E38" s="5"/>
      <c r="F38" s="5"/>
    </row>
    <row r="39" spans="1:6" x14ac:dyDescent="0.15">
      <c r="A39" s="7" t="s">
        <v>240</v>
      </c>
      <c r="B39" s="5"/>
      <c r="C39" s="5"/>
      <c r="D39" s="5"/>
      <c r="E39" s="5"/>
      <c r="F39" s="5"/>
    </row>
    <row r="40" spans="1:6" x14ac:dyDescent="0.15">
      <c r="A40" s="5" t="s">
        <v>239</v>
      </c>
      <c r="B40" s="36">
        <v>0.829959</v>
      </c>
      <c r="C40" s="36">
        <v>0.79196200000000005</v>
      </c>
      <c r="D40" s="36">
        <v>0.77625</v>
      </c>
      <c r="E40" s="36">
        <v>0.768903</v>
      </c>
      <c r="F40" s="36">
        <v>0.765486</v>
      </c>
    </row>
    <row r="41" spans="1:6" x14ac:dyDescent="0.15">
      <c r="A41" s="5" t="s">
        <v>238</v>
      </c>
      <c r="B41" s="36">
        <v>0.605263</v>
      </c>
      <c r="C41" s="36">
        <v>0.54564199999999996</v>
      </c>
      <c r="D41" s="36">
        <v>0.48590499999999998</v>
      </c>
      <c r="E41" s="36">
        <v>0.47622199999999998</v>
      </c>
      <c r="F41" s="36">
        <v>0.45940399999999998</v>
      </c>
    </row>
    <row r="42" spans="1:6" x14ac:dyDescent="0.15">
      <c r="A42" s="5" t="s">
        <v>237</v>
      </c>
      <c r="B42" s="36">
        <v>0.288553</v>
      </c>
      <c r="C42" s="36">
        <v>0.34570800000000002</v>
      </c>
      <c r="D42" s="36">
        <v>0.31684200000000001</v>
      </c>
      <c r="E42" s="36">
        <v>0.298819</v>
      </c>
      <c r="F42" s="36">
        <v>0.38650000000000001</v>
      </c>
    </row>
    <row r="43" spans="1:6" x14ac:dyDescent="0.15">
      <c r="A43" s="5" t="s">
        <v>236</v>
      </c>
      <c r="B43" s="8">
        <v>43.747247999999999</v>
      </c>
      <c r="C43" s="8">
        <v>34.743254999999998</v>
      </c>
      <c r="D43" s="8">
        <v>35.00788</v>
      </c>
      <c r="E43" s="8">
        <v>39.045875000000002</v>
      </c>
      <c r="F43" s="8">
        <v>39.893999999999998</v>
      </c>
    </row>
    <row r="44" spans="1:6" x14ac:dyDescent="0.15">
      <c r="A44" s="5" t="s">
        <v>235</v>
      </c>
      <c r="B44" s="8">
        <v>62.309303999999997</v>
      </c>
      <c r="C44" s="8">
        <v>60.203099999999999</v>
      </c>
      <c r="D44" s="8">
        <v>56.656395000000003</v>
      </c>
      <c r="E44" s="8">
        <v>64.713404999999995</v>
      </c>
      <c r="F44" s="8">
        <v>70.357643999999993</v>
      </c>
    </row>
    <row r="45" spans="1:6" x14ac:dyDescent="0.15">
      <c r="A45" s="5" t="s">
        <v>234</v>
      </c>
      <c r="B45" s="8">
        <v>127.893942</v>
      </c>
      <c r="C45" s="8">
        <v>109.63724000000001</v>
      </c>
      <c r="D45" s="8">
        <v>99.986639999999994</v>
      </c>
      <c r="E45" s="8">
        <v>105.04846000000001</v>
      </c>
      <c r="F45" s="8">
        <v>113.97130199999999</v>
      </c>
    </row>
    <row r="46" spans="1:6" x14ac:dyDescent="0.15">
      <c r="A46" s="5" t="s">
        <v>233</v>
      </c>
      <c r="B46" s="8">
        <v>-21.8</v>
      </c>
      <c r="C46" s="8">
        <v>-14.7</v>
      </c>
      <c r="D46" s="8">
        <v>-8.3000000000000007</v>
      </c>
      <c r="E46" s="8">
        <v>-1.3</v>
      </c>
      <c r="F46" s="8">
        <v>-3.7</v>
      </c>
    </row>
    <row r="47" spans="1:6" x14ac:dyDescent="0.15">
      <c r="A47" s="5"/>
      <c r="B47" s="5"/>
      <c r="C47" s="5"/>
      <c r="D47" s="5"/>
      <c r="E47" s="5"/>
      <c r="F47" s="5"/>
    </row>
    <row r="48" spans="1:6" x14ac:dyDescent="0.15">
      <c r="A48" s="7" t="s">
        <v>232</v>
      </c>
      <c r="B48" s="5"/>
      <c r="C48" s="5"/>
      <c r="D48" s="5"/>
      <c r="E48" s="5"/>
      <c r="F48" s="5"/>
    </row>
    <row r="49" spans="1:6" x14ac:dyDescent="0.15">
      <c r="A49" s="5" t="s">
        <v>231</v>
      </c>
      <c r="B49" s="11">
        <v>1.264313</v>
      </c>
      <c r="C49" s="11">
        <v>0.85649699999999995</v>
      </c>
      <c r="D49" s="11">
        <v>0.74712500000000004</v>
      </c>
      <c r="E49" s="11">
        <v>0.80029799999999995</v>
      </c>
      <c r="F49" s="11">
        <v>0.76104799999999995</v>
      </c>
    </row>
    <row r="50" spans="1:6" x14ac:dyDescent="0.15">
      <c r="A50" s="5" t="s">
        <v>266</v>
      </c>
      <c r="B50" s="11">
        <v>0.558365</v>
      </c>
      <c r="C50" s="11">
        <v>0.46135100000000001</v>
      </c>
      <c r="D50" s="11">
        <v>0.42763099999999998</v>
      </c>
      <c r="E50" s="11">
        <v>0.44453599999999999</v>
      </c>
      <c r="F50" s="11">
        <v>0.43215599999999998</v>
      </c>
    </row>
    <row r="51" spans="1:6" x14ac:dyDescent="0.15">
      <c r="A51" s="5" t="s">
        <v>230</v>
      </c>
      <c r="B51" s="11">
        <v>1.0155639999999999</v>
      </c>
      <c r="C51" s="11">
        <v>0.69238500000000003</v>
      </c>
      <c r="D51" s="11">
        <v>0.58818400000000004</v>
      </c>
      <c r="E51" s="11">
        <v>0.61634900000000004</v>
      </c>
      <c r="F51" s="11">
        <v>0.61525700000000005</v>
      </c>
    </row>
    <row r="52" spans="1:6" x14ac:dyDescent="0.15">
      <c r="A52" s="5" t="s">
        <v>229</v>
      </c>
      <c r="B52" s="11">
        <v>0.44850800000000002</v>
      </c>
      <c r="C52" s="11">
        <v>0.37295200000000001</v>
      </c>
      <c r="D52" s="11">
        <v>0.33665800000000001</v>
      </c>
      <c r="E52" s="11">
        <v>0.34235900000000002</v>
      </c>
      <c r="F52" s="11">
        <v>0.34937000000000001</v>
      </c>
    </row>
    <row r="53" spans="1:6" x14ac:dyDescent="0.15">
      <c r="A53" s="5" t="s">
        <v>228</v>
      </c>
      <c r="B53" s="11">
        <v>0.66241300000000003</v>
      </c>
      <c r="C53" s="11">
        <v>0.59672400000000003</v>
      </c>
      <c r="D53" s="11">
        <v>0.58172699999999999</v>
      </c>
      <c r="E53" s="11">
        <v>0.58680299999999996</v>
      </c>
      <c r="F53" s="11">
        <v>0.58339600000000003</v>
      </c>
    </row>
    <row r="54" spans="1:6" x14ac:dyDescent="0.15">
      <c r="A54" s="5"/>
      <c r="B54" s="5"/>
      <c r="C54" s="5"/>
      <c r="D54" s="5"/>
      <c r="E54" s="5"/>
      <c r="F54" s="5"/>
    </row>
    <row r="55" spans="1:6" x14ac:dyDescent="0.15">
      <c r="A55" s="5" t="s">
        <v>267</v>
      </c>
      <c r="B55" s="36">
        <v>3.935613</v>
      </c>
      <c r="C55" s="36">
        <v>6.6060600000000003</v>
      </c>
      <c r="D55" s="36">
        <v>8.8318770000000004</v>
      </c>
      <c r="E55" s="36">
        <v>5.951562</v>
      </c>
      <c r="F55" s="36">
        <v>5.6602940000000004</v>
      </c>
    </row>
    <row r="56" spans="1:6" x14ac:dyDescent="0.15">
      <c r="A56" s="5" t="s">
        <v>227</v>
      </c>
      <c r="B56" s="36">
        <v>7.623742</v>
      </c>
      <c r="C56" s="36">
        <v>10.430735</v>
      </c>
      <c r="D56" s="36">
        <v>12.980349</v>
      </c>
      <c r="E56" s="36">
        <v>9.0593749999999993</v>
      </c>
      <c r="F56" s="36">
        <v>8.8441170000000007</v>
      </c>
    </row>
    <row r="57" spans="1:6" x14ac:dyDescent="0.15">
      <c r="A57" s="5" t="s">
        <v>226</v>
      </c>
      <c r="B57" s="36">
        <v>4.6036210000000004</v>
      </c>
      <c r="C57" s="36">
        <v>7.5649350000000002</v>
      </c>
      <c r="D57" s="36">
        <v>9.0698679999999996</v>
      </c>
      <c r="E57" s="36">
        <v>5.2562499999999996</v>
      </c>
      <c r="F57" s="36">
        <v>5.632352</v>
      </c>
    </row>
    <row r="58" spans="1:6" x14ac:dyDescent="0.15">
      <c r="A58" s="5" t="s">
        <v>225</v>
      </c>
      <c r="B58" s="36">
        <v>4.8023220000000002</v>
      </c>
      <c r="C58" s="36">
        <v>3.5013480000000001</v>
      </c>
      <c r="D58" s="36">
        <v>2.7547510000000002</v>
      </c>
      <c r="E58" s="36">
        <v>3.1455669999999998</v>
      </c>
      <c r="F58" s="36">
        <v>2.8348849999999999</v>
      </c>
    </row>
    <row r="59" spans="1:6" x14ac:dyDescent="0.15">
      <c r="A59" s="5" t="s">
        <v>224</v>
      </c>
      <c r="B59" s="36">
        <v>3.7466339999999998</v>
      </c>
      <c r="C59" s="36">
        <v>2.82735</v>
      </c>
      <c r="D59" s="36">
        <v>2.2896550000000002</v>
      </c>
      <c r="E59" s="36">
        <v>2.735598</v>
      </c>
      <c r="F59" s="36">
        <v>2.4441299999999999</v>
      </c>
    </row>
    <row r="60" spans="1:6" x14ac:dyDescent="0.15">
      <c r="A60" s="5" t="s">
        <v>223</v>
      </c>
      <c r="B60" s="36">
        <v>7.9527970000000003</v>
      </c>
      <c r="C60" s="36">
        <v>4.8277530000000004</v>
      </c>
      <c r="D60" s="36">
        <v>3.9424649999999999</v>
      </c>
      <c r="E60" s="36">
        <v>5.4215210000000003</v>
      </c>
      <c r="F60" s="36">
        <v>4.4514360000000002</v>
      </c>
    </row>
    <row r="61" spans="1:6" x14ac:dyDescent="0.15">
      <c r="A61" s="5" t="s">
        <v>222</v>
      </c>
      <c r="B61" s="36">
        <v>6.2045450000000004</v>
      </c>
      <c r="C61" s="36">
        <v>3.8984260000000002</v>
      </c>
      <c r="D61" s="36">
        <v>3.2768410000000001</v>
      </c>
      <c r="E61" s="36">
        <v>4.7149219999999996</v>
      </c>
      <c r="F61" s="36">
        <v>3.8378589999999999</v>
      </c>
    </row>
    <row r="62" spans="1:6" x14ac:dyDescent="0.15">
      <c r="A62" s="5"/>
      <c r="B62" s="5"/>
      <c r="C62" s="5"/>
      <c r="D62" s="5"/>
      <c r="E62" s="5"/>
      <c r="F62" s="5"/>
    </row>
    <row r="63" spans="1:6" x14ac:dyDescent="0.15">
      <c r="A63" s="5" t="s">
        <v>221</v>
      </c>
      <c r="B63" s="14">
        <v>2.0703330000000002</v>
      </c>
      <c r="C63" s="14">
        <v>2.2089530000000002</v>
      </c>
      <c r="D63" s="14">
        <v>2.284897</v>
      </c>
      <c r="E63" s="14">
        <v>2.2115900000000002</v>
      </c>
      <c r="F63" s="14">
        <v>2.1772809999999998</v>
      </c>
    </row>
    <row r="64" spans="1:6" x14ac:dyDescent="0.15">
      <c r="A64" s="5"/>
      <c r="B64" s="5"/>
      <c r="C64" s="5"/>
      <c r="D64" s="5"/>
      <c r="E64" s="5"/>
      <c r="F64" s="5"/>
    </row>
    <row r="65" spans="1:6" x14ac:dyDescent="0.15">
      <c r="A65" s="7" t="s">
        <v>220</v>
      </c>
      <c r="B65" s="5"/>
      <c r="C65" s="5"/>
      <c r="D65" s="5"/>
      <c r="E65" s="5"/>
      <c r="F65" s="5"/>
    </row>
    <row r="66" spans="1:6" x14ac:dyDescent="0.15">
      <c r="A66" s="5" t="s">
        <v>85</v>
      </c>
      <c r="B66" s="11">
        <v>-0.17748</v>
      </c>
      <c r="C66" s="11">
        <v>0.11290799999999999</v>
      </c>
      <c r="D66" s="11">
        <v>0.308919</v>
      </c>
      <c r="E66" s="11">
        <v>5.7209000000000003E-2</v>
      </c>
      <c r="F66" s="11">
        <v>-1.7819000000000002E-2</v>
      </c>
    </row>
    <row r="67" spans="1:6" x14ac:dyDescent="0.15">
      <c r="A67" s="5" t="s">
        <v>83</v>
      </c>
      <c r="B67" s="11">
        <v>-0.219469</v>
      </c>
      <c r="C67" s="11">
        <v>0.15405199999999999</v>
      </c>
      <c r="D67" s="11">
        <v>0.206848</v>
      </c>
      <c r="E67" s="11">
        <v>2.9430999999999999E-2</v>
      </c>
      <c r="F67" s="11">
        <v>1.3920999999999999E-2</v>
      </c>
    </row>
    <row r="68" spans="1:6" x14ac:dyDescent="0.15">
      <c r="A68" s="5" t="s">
        <v>216</v>
      </c>
      <c r="B68" s="11">
        <v>-0.32906400000000002</v>
      </c>
      <c r="C68" s="11">
        <v>0.29466999999999999</v>
      </c>
      <c r="D68" s="11">
        <v>0.25269599999999998</v>
      </c>
      <c r="E68" s="11">
        <v>-3.4617000000000002E-2</v>
      </c>
      <c r="F68" s="11">
        <v>3.8040999999999998E-2</v>
      </c>
    </row>
    <row r="69" spans="1:6" x14ac:dyDescent="0.15">
      <c r="A69" s="5" t="s">
        <v>215</v>
      </c>
      <c r="B69" s="11">
        <v>-0.43894499999999997</v>
      </c>
      <c r="C69" s="11">
        <v>0.49440200000000001</v>
      </c>
      <c r="D69" s="11">
        <v>0.31135699999999999</v>
      </c>
      <c r="E69" s="11">
        <v>-5.6445000000000002E-2</v>
      </c>
      <c r="F69" s="11">
        <v>7.7499999999999999E-3</v>
      </c>
    </row>
    <row r="70" spans="1:6" x14ac:dyDescent="0.15">
      <c r="A70" s="5" t="s">
        <v>214</v>
      </c>
      <c r="B70" s="11">
        <v>-0.46673999999999999</v>
      </c>
      <c r="C70" s="11">
        <v>0.56032700000000002</v>
      </c>
      <c r="D70" s="11">
        <v>0.32535999999999998</v>
      </c>
      <c r="E70" s="11">
        <v>-5.8344E-2</v>
      </c>
      <c r="F70" s="11">
        <v>1.0501E-2</v>
      </c>
    </row>
    <row r="71" spans="1:6" ht="12" x14ac:dyDescent="0.15">
      <c r="A71" s="5" t="s">
        <v>58</v>
      </c>
      <c r="B71" s="11" t="s">
        <v>30</v>
      </c>
      <c r="C71" s="11" t="s">
        <v>30</v>
      </c>
      <c r="D71" s="11">
        <v>-0.14031199999999999</v>
      </c>
      <c r="E71" s="11">
        <v>-0.20993800000000001</v>
      </c>
      <c r="F71" s="11">
        <v>-0.51645200000000002</v>
      </c>
    </row>
    <row r="72" spans="1:6" ht="12" x14ac:dyDescent="0.15">
      <c r="A72" s="5" t="s">
        <v>53</v>
      </c>
      <c r="B72" s="11" t="s">
        <v>30</v>
      </c>
      <c r="C72" s="11" t="s">
        <v>30</v>
      </c>
      <c r="D72" s="11">
        <v>-0.19314100000000001</v>
      </c>
      <c r="E72" s="11">
        <v>-0.14094000000000001</v>
      </c>
      <c r="F72" s="11">
        <v>-0.57552099999999995</v>
      </c>
    </row>
    <row r="73" spans="1:6" x14ac:dyDescent="0.15">
      <c r="A73" s="5" t="s">
        <v>213</v>
      </c>
      <c r="B73" s="11">
        <v>-0.61779300000000004</v>
      </c>
      <c r="C73" s="11">
        <v>1.314152</v>
      </c>
      <c r="D73" s="11">
        <v>0.22042999999999999</v>
      </c>
      <c r="E73" s="11">
        <v>-8.2905999999999994E-2</v>
      </c>
      <c r="F73" s="11">
        <v>-0.31443100000000002</v>
      </c>
    </row>
    <row r="74" spans="1:6" ht="12" x14ac:dyDescent="0.15">
      <c r="A74" s="5" t="s">
        <v>212</v>
      </c>
      <c r="B74" s="11" t="s">
        <v>30</v>
      </c>
      <c r="C74" s="11" t="s">
        <v>30</v>
      </c>
      <c r="D74" s="11">
        <v>-0.194108</v>
      </c>
      <c r="E74" s="11">
        <v>-0.120624</v>
      </c>
      <c r="F74" s="11">
        <v>-0.57447899999999996</v>
      </c>
    </row>
    <row r="75" spans="1:6" x14ac:dyDescent="0.15">
      <c r="A75" s="5"/>
      <c r="B75" s="5"/>
      <c r="C75" s="5"/>
      <c r="D75" s="5"/>
      <c r="E75" s="5"/>
      <c r="F75" s="5"/>
    </row>
    <row r="76" spans="1:6" x14ac:dyDescent="0.15">
      <c r="A76" s="5" t="s">
        <v>211</v>
      </c>
      <c r="B76" s="11">
        <v>-0.38871800000000001</v>
      </c>
      <c r="C76" s="11">
        <v>0.33612900000000001</v>
      </c>
      <c r="D76" s="11">
        <v>0.30598500000000001</v>
      </c>
      <c r="E76" s="11">
        <v>8.2050999999999999E-2</v>
      </c>
      <c r="F76" s="11">
        <v>-7.4348999999999998E-2</v>
      </c>
    </row>
    <row r="77" spans="1:6" x14ac:dyDescent="0.15">
      <c r="A77" s="5" t="s">
        <v>210</v>
      </c>
      <c r="B77" s="11">
        <v>-0.115229</v>
      </c>
      <c r="C77" s="11">
        <v>0.245148</v>
      </c>
      <c r="D77" s="11">
        <v>0.33305899999999999</v>
      </c>
      <c r="E77" s="11">
        <v>0.144923</v>
      </c>
      <c r="F77" s="11">
        <v>-4.0043000000000002E-2</v>
      </c>
    </row>
    <row r="78" spans="1:6" x14ac:dyDescent="0.15">
      <c r="A78" s="5" t="s">
        <v>209</v>
      </c>
      <c r="B78" s="11">
        <v>-0.12947500000000001</v>
      </c>
      <c r="C78" s="11">
        <v>7.3585999999999999E-2</v>
      </c>
      <c r="D78" s="11">
        <v>9.8540000000000003E-2</v>
      </c>
      <c r="E78" s="11">
        <v>8.4342E-2</v>
      </c>
      <c r="F78" s="11">
        <v>-6.4320000000000002E-3</v>
      </c>
    </row>
    <row r="79" spans="1:6" x14ac:dyDescent="0.15">
      <c r="A79" s="5" t="s">
        <v>208</v>
      </c>
      <c r="B79" s="11">
        <v>-8.3262000000000003E-2</v>
      </c>
      <c r="C79" s="11">
        <v>0.14585200000000001</v>
      </c>
      <c r="D79" s="11">
        <v>7.2793999999999998E-2</v>
      </c>
      <c r="E79" s="11">
        <v>5.2416999999999998E-2</v>
      </c>
      <c r="F79" s="11">
        <v>-2.5021999999999999E-2</v>
      </c>
    </row>
    <row r="80" spans="1:6" x14ac:dyDescent="0.15">
      <c r="A80" s="5"/>
      <c r="B80" s="5"/>
      <c r="C80" s="5"/>
      <c r="D80" s="5"/>
      <c r="E80" s="5"/>
      <c r="F80" s="5"/>
    </row>
    <row r="81" spans="1:6" ht="12" x14ac:dyDescent="0.15">
      <c r="A81" s="5" t="s">
        <v>207</v>
      </c>
      <c r="B81" s="11" t="s">
        <v>30</v>
      </c>
      <c r="C81" s="11" t="s">
        <v>30</v>
      </c>
      <c r="D81" s="11" t="s">
        <v>30</v>
      </c>
      <c r="E81" s="11" t="s">
        <v>30</v>
      </c>
      <c r="F81" s="11" t="s">
        <v>30</v>
      </c>
    </row>
    <row r="82" spans="1:6" x14ac:dyDescent="0.15">
      <c r="A82" s="5" t="s">
        <v>206</v>
      </c>
      <c r="B82" s="11">
        <v>-0.17061999999999999</v>
      </c>
      <c r="C82" s="11">
        <v>0.29599700000000001</v>
      </c>
      <c r="D82" s="11">
        <v>0.126469</v>
      </c>
      <c r="E82" s="11">
        <v>2.5829000000000001E-2</v>
      </c>
      <c r="F82" s="11">
        <v>-2.3684E-2</v>
      </c>
    </row>
    <row r="83" spans="1:6" x14ac:dyDescent="0.15">
      <c r="A83" s="5" t="s">
        <v>205</v>
      </c>
      <c r="B83" s="11">
        <v>-0.27692</v>
      </c>
      <c r="C83" s="11">
        <v>0.333227</v>
      </c>
      <c r="D83" s="11">
        <v>7.5340000000000004E-2</v>
      </c>
      <c r="E83" s="11">
        <v>-1.468E-2</v>
      </c>
      <c r="F83" s="11">
        <v>0.24221200000000001</v>
      </c>
    </row>
    <row r="84" spans="1:6" x14ac:dyDescent="0.15">
      <c r="A84" s="5" t="s">
        <v>204</v>
      </c>
      <c r="B84" s="11">
        <v>-0.21618799999999999</v>
      </c>
      <c r="C84" s="11">
        <v>-0.117922</v>
      </c>
      <c r="D84" s="11">
        <v>0.352719</v>
      </c>
      <c r="E84" s="11">
        <v>0.35901699999999998</v>
      </c>
      <c r="F84" s="11">
        <v>-0.102712</v>
      </c>
    </row>
    <row r="85" spans="1:6" x14ac:dyDescent="0.15">
      <c r="A85" s="5" t="s">
        <v>203</v>
      </c>
      <c r="B85" s="11">
        <v>-0.25193700000000002</v>
      </c>
      <c r="C85" s="11">
        <v>0.51056699999999999</v>
      </c>
      <c r="D85" s="11">
        <v>9.1190000000000004E-3</v>
      </c>
      <c r="E85" s="11">
        <v>-0.72758999999999996</v>
      </c>
      <c r="F85" s="11">
        <v>3.3991340000000001</v>
      </c>
    </row>
    <row r="86" spans="1:6" x14ac:dyDescent="0.15">
      <c r="A86" s="5" t="s">
        <v>202</v>
      </c>
      <c r="B86" s="11">
        <v>-0.224218</v>
      </c>
      <c r="C86" s="11">
        <v>0.40869299999999997</v>
      </c>
      <c r="D86" s="11">
        <v>7.0619999999999997E-3</v>
      </c>
      <c r="E86" s="11">
        <v>-0.59945300000000001</v>
      </c>
      <c r="F86" s="11">
        <v>2.073264</v>
      </c>
    </row>
    <row r="87" spans="1:6" x14ac:dyDescent="0.15">
      <c r="A87" s="5" t="s">
        <v>201</v>
      </c>
      <c r="B87" s="11">
        <v>-0.58333400000000002</v>
      </c>
      <c r="C87" s="11">
        <v>0.771428</v>
      </c>
      <c r="D87" s="11">
        <v>0.39516099999999998</v>
      </c>
      <c r="E87" s="11">
        <v>0</v>
      </c>
      <c r="F87" s="11">
        <v>7.5144000000000002E-2</v>
      </c>
    </row>
    <row r="88" spans="1:6" x14ac:dyDescent="0.15">
      <c r="A88" s="5"/>
      <c r="B88" s="5"/>
      <c r="C88" s="5"/>
      <c r="D88" s="5"/>
      <c r="E88" s="5"/>
      <c r="F88" s="5"/>
    </row>
    <row r="89" spans="1:6" x14ac:dyDescent="0.15">
      <c r="A89" s="7" t="s">
        <v>219</v>
      </c>
      <c r="B89" s="5"/>
      <c r="C89" s="5"/>
      <c r="D89" s="5"/>
      <c r="E89" s="5"/>
      <c r="F89" s="5"/>
    </row>
    <row r="90" spans="1:6" x14ac:dyDescent="0.15">
      <c r="A90" s="5" t="s">
        <v>85</v>
      </c>
      <c r="B90" s="11">
        <v>-6.3703999999999997E-2</v>
      </c>
      <c r="C90" s="11">
        <v>-4.3240000000000001E-2</v>
      </c>
      <c r="D90" s="11">
        <v>0.20694199999999999</v>
      </c>
      <c r="E90" s="11">
        <v>0.17635100000000001</v>
      </c>
      <c r="F90" s="11">
        <v>1.9005000000000001E-2</v>
      </c>
    </row>
    <row r="91" spans="1:6" x14ac:dyDescent="0.15">
      <c r="A91" s="5" t="s">
        <v>83</v>
      </c>
      <c r="B91" s="11">
        <v>-8.5136000000000003E-2</v>
      </c>
      <c r="C91" s="11">
        <v>-5.0909000000000003E-2</v>
      </c>
      <c r="D91" s="11">
        <v>0.18015500000000001</v>
      </c>
      <c r="E91" s="11">
        <v>0.11461499999999999</v>
      </c>
      <c r="F91" s="11">
        <v>2.1647E-2</v>
      </c>
    </row>
    <row r="92" spans="1:6" x14ac:dyDescent="0.15">
      <c r="A92" s="5" t="s">
        <v>216</v>
      </c>
      <c r="B92" s="11">
        <v>-0.140683</v>
      </c>
      <c r="C92" s="11">
        <v>-6.7989999999999995E-2</v>
      </c>
      <c r="D92" s="11">
        <v>0.273511</v>
      </c>
      <c r="E92" s="11">
        <v>9.9696999999999994E-2</v>
      </c>
      <c r="F92" s="11">
        <v>1.0529999999999999E-3</v>
      </c>
    </row>
    <row r="93" spans="1:6" x14ac:dyDescent="0.15">
      <c r="A93" s="5" t="s">
        <v>215</v>
      </c>
      <c r="B93" s="11">
        <v>-0.21209500000000001</v>
      </c>
      <c r="C93" s="11">
        <v>-8.4334999999999993E-2</v>
      </c>
      <c r="D93" s="11">
        <v>0.399891</v>
      </c>
      <c r="E93" s="11">
        <v>0.112357</v>
      </c>
      <c r="F93" s="11">
        <v>-2.4875000000000001E-2</v>
      </c>
    </row>
    <row r="94" spans="1:6" x14ac:dyDescent="0.15">
      <c r="A94" s="5" t="s">
        <v>214</v>
      </c>
      <c r="B94" s="11">
        <v>-0.227769</v>
      </c>
      <c r="C94" s="11">
        <v>-8.7826000000000001E-2</v>
      </c>
      <c r="D94" s="11">
        <v>0.43805300000000003</v>
      </c>
      <c r="E94" s="11">
        <v>0.11715399999999999</v>
      </c>
      <c r="F94" s="11">
        <v>-2.4528000000000001E-2</v>
      </c>
    </row>
    <row r="95" spans="1:6" ht="12" x14ac:dyDescent="0.15">
      <c r="A95" s="5" t="s">
        <v>58</v>
      </c>
      <c r="B95" s="11" t="s">
        <v>30</v>
      </c>
      <c r="C95" s="11">
        <v>0.22026599999999999</v>
      </c>
      <c r="D95" s="11" t="s">
        <v>30</v>
      </c>
      <c r="E95" s="11">
        <v>-0.17585999999999999</v>
      </c>
      <c r="F95" s="11">
        <v>-0.38191199999999997</v>
      </c>
    </row>
    <row r="96" spans="1:6" ht="12" x14ac:dyDescent="0.15">
      <c r="A96" s="5" t="s">
        <v>53</v>
      </c>
      <c r="B96" s="11" t="s">
        <v>30</v>
      </c>
      <c r="C96" s="11">
        <v>0.23880000000000001</v>
      </c>
      <c r="D96" s="11" t="s">
        <v>30</v>
      </c>
      <c r="E96" s="11">
        <v>-0.16744999999999999</v>
      </c>
      <c r="F96" s="11">
        <v>-0.39613500000000001</v>
      </c>
    </row>
    <row r="97" spans="1:6" x14ac:dyDescent="0.15">
      <c r="A97" s="5" t="s">
        <v>213</v>
      </c>
      <c r="B97" s="11">
        <v>-0.35170099999999999</v>
      </c>
      <c r="C97" s="11">
        <v>-5.9528999999999999E-2</v>
      </c>
      <c r="D97" s="11">
        <v>0.68055399999999999</v>
      </c>
      <c r="E97" s="11">
        <v>5.7945999999999998E-2</v>
      </c>
      <c r="F97" s="11">
        <v>-0.20707400000000001</v>
      </c>
    </row>
    <row r="98" spans="1:6" ht="12" x14ac:dyDescent="0.15">
      <c r="A98" s="5" t="s">
        <v>212</v>
      </c>
      <c r="B98" s="11" t="s">
        <v>30</v>
      </c>
      <c r="C98" s="11">
        <v>0.23713500000000001</v>
      </c>
      <c r="D98" s="11" t="s">
        <v>30</v>
      </c>
      <c r="E98" s="11">
        <v>-0.158167</v>
      </c>
      <c r="F98" s="11">
        <v>-0.38828699999999999</v>
      </c>
    </row>
    <row r="99" spans="1:6" x14ac:dyDescent="0.15">
      <c r="A99" s="5"/>
      <c r="B99" s="5"/>
      <c r="C99" s="5"/>
      <c r="D99" s="5"/>
      <c r="E99" s="5"/>
      <c r="F99" s="5"/>
    </row>
    <row r="100" spans="1:6" x14ac:dyDescent="0.15">
      <c r="A100" s="5" t="s">
        <v>211</v>
      </c>
      <c r="B100" s="11">
        <v>-0.17008999999999999</v>
      </c>
      <c r="C100" s="11">
        <v>-9.6256999999999995E-2</v>
      </c>
      <c r="D100" s="11">
        <v>0.32097199999999998</v>
      </c>
      <c r="E100" s="11">
        <v>0.18875700000000001</v>
      </c>
      <c r="F100" s="11">
        <v>8.0099999999999995E-4</v>
      </c>
    </row>
    <row r="101" spans="1:6" x14ac:dyDescent="0.15">
      <c r="A101" s="5" t="s">
        <v>210</v>
      </c>
      <c r="B101" s="11">
        <v>9.8469999999999999E-3</v>
      </c>
      <c r="C101" s="11">
        <v>4.9605000000000003E-2</v>
      </c>
      <c r="D101" s="11">
        <v>0.288354</v>
      </c>
      <c r="E101" s="11">
        <v>0.23541500000000001</v>
      </c>
      <c r="F101" s="11">
        <v>4.8368000000000001E-2</v>
      </c>
    </row>
    <row r="102" spans="1:6" x14ac:dyDescent="0.15">
      <c r="A102" s="5" t="s">
        <v>209</v>
      </c>
      <c r="B102" s="11">
        <v>8.4159999999999999E-3</v>
      </c>
      <c r="C102" s="11">
        <v>-3.3260999999999999E-2</v>
      </c>
      <c r="D102" s="11">
        <v>8.5991999999999999E-2</v>
      </c>
      <c r="E102" s="11">
        <v>9.1417999999999999E-2</v>
      </c>
      <c r="F102" s="11">
        <v>3.7963999999999998E-2</v>
      </c>
    </row>
    <row r="103" spans="1:6" x14ac:dyDescent="0.15">
      <c r="A103" s="5" t="s">
        <v>208</v>
      </c>
      <c r="B103" s="11">
        <v>5.6889999999999996E-3</v>
      </c>
      <c r="C103" s="11">
        <v>2.4913000000000001E-2</v>
      </c>
      <c r="D103" s="11">
        <v>0.108722</v>
      </c>
      <c r="E103" s="11">
        <v>6.2557000000000001E-2</v>
      </c>
      <c r="F103" s="11">
        <v>1.2958000000000001E-2</v>
      </c>
    </row>
    <row r="104" spans="1:6" x14ac:dyDescent="0.15">
      <c r="A104" s="5"/>
      <c r="B104" s="5"/>
      <c r="C104" s="5"/>
      <c r="D104" s="5"/>
      <c r="E104" s="5"/>
      <c r="F104" s="5"/>
    </row>
    <row r="105" spans="1:6" ht="12" x14ac:dyDescent="0.15">
      <c r="A105" s="5" t="s">
        <v>207</v>
      </c>
      <c r="B105" s="11" t="s">
        <v>30</v>
      </c>
      <c r="C105" s="11" t="s">
        <v>30</v>
      </c>
      <c r="D105" s="11" t="s">
        <v>30</v>
      </c>
      <c r="E105" s="11" t="s">
        <v>30</v>
      </c>
      <c r="F105" s="11" t="s">
        <v>30</v>
      </c>
    </row>
    <row r="106" spans="1:6" x14ac:dyDescent="0.15">
      <c r="A106" s="5" t="s">
        <v>206</v>
      </c>
      <c r="B106" s="11">
        <v>-3.9794000000000003E-2</v>
      </c>
      <c r="C106" s="11">
        <v>3.6761000000000002E-2</v>
      </c>
      <c r="D106" s="11">
        <v>0.208264</v>
      </c>
      <c r="E106" s="11">
        <v>7.4971999999999997E-2</v>
      </c>
      <c r="F106" s="11">
        <v>7.67E-4</v>
      </c>
    </row>
    <row r="107" spans="1:6" x14ac:dyDescent="0.15">
      <c r="A107" s="5" t="s">
        <v>205</v>
      </c>
      <c r="B107" s="11">
        <v>-0.154615</v>
      </c>
      <c r="C107" s="11">
        <v>-1.8149999999999999E-2</v>
      </c>
      <c r="D107" s="11">
        <v>0.19736100000000001</v>
      </c>
      <c r="E107" s="11">
        <v>2.9347000000000002E-2</v>
      </c>
      <c r="F107" s="11">
        <v>0.106334</v>
      </c>
    </row>
    <row r="108" spans="1:6" x14ac:dyDescent="0.15">
      <c r="A108" s="5" t="s">
        <v>204</v>
      </c>
      <c r="B108" s="11">
        <v>-0.10836</v>
      </c>
      <c r="C108" s="11">
        <v>-0.16850599999999999</v>
      </c>
      <c r="D108" s="11">
        <v>9.2339000000000004E-2</v>
      </c>
      <c r="E108" s="11">
        <v>0.35586400000000001</v>
      </c>
      <c r="F108" s="11">
        <v>0.104278</v>
      </c>
    </row>
    <row r="109" spans="1:6" x14ac:dyDescent="0.15">
      <c r="A109" s="5" t="s">
        <v>203</v>
      </c>
      <c r="B109" s="11">
        <v>-6.8463999999999997E-2</v>
      </c>
      <c r="C109" s="11">
        <v>6.3015000000000002E-2</v>
      </c>
      <c r="D109" s="11">
        <v>0.23464299999999999</v>
      </c>
      <c r="E109" s="11">
        <v>-0.47569600000000001</v>
      </c>
      <c r="F109" s="11">
        <v>9.4701999999999995E-2</v>
      </c>
    </row>
    <row r="110" spans="1:6" x14ac:dyDescent="0.15">
      <c r="A110" s="5" t="s">
        <v>202</v>
      </c>
      <c r="B110" s="11">
        <v>-5.6732999999999999E-2</v>
      </c>
      <c r="C110" s="11">
        <v>4.5388999999999999E-2</v>
      </c>
      <c r="D110" s="11">
        <v>0.19106799999999999</v>
      </c>
      <c r="E110" s="11">
        <v>-0.36488100000000001</v>
      </c>
      <c r="F110" s="11">
        <v>0.109499</v>
      </c>
    </row>
    <row r="111" spans="1:6" x14ac:dyDescent="0.15">
      <c r="A111" s="5" t="s">
        <v>201</v>
      </c>
      <c r="B111" s="11">
        <v>-0.33856199999999997</v>
      </c>
      <c r="C111" s="11">
        <v>-0.140875</v>
      </c>
      <c r="D111" s="11">
        <v>0.57207799999999998</v>
      </c>
      <c r="E111" s="11">
        <v>0.181169</v>
      </c>
      <c r="F111" s="11">
        <v>3.6892000000000001E-2</v>
      </c>
    </row>
    <row r="112" spans="1:6" x14ac:dyDescent="0.15">
      <c r="A112" s="5"/>
      <c r="B112" s="5"/>
      <c r="C112" s="5"/>
      <c r="D112" s="5"/>
      <c r="E112" s="5"/>
      <c r="F112" s="5"/>
    </row>
    <row r="113" spans="1:6" x14ac:dyDescent="0.15">
      <c r="A113" s="7" t="s">
        <v>218</v>
      </c>
      <c r="B113" s="5"/>
      <c r="C113" s="5"/>
      <c r="D113" s="5"/>
      <c r="E113" s="5"/>
      <c r="F113" s="5"/>
    </row>
    <row r="114" spans="1:6" x14ac:dyDescent="0.15">
      <c r="A114" s="5" t="s">
        <v>85</v>
      </c>
      <c r="B114" s="11">
        <v>-3.0113999999999998E-2</v>
      </c>
      <c r="C114" s="11">
        <v>-8.1899999999999994E-3</v>
      </c>
      <c r="D114" s="11">
        <v>6.2119000000000001E-2</v>
      </c>
      <c r="E114" s="11">
        <v>0.15481200000000001</v>
      </c>
      <c r="F114" s="11">
        <v>0.107699</v>
      </c>
    </row>
    <row r="115" spans="1:6" x14ac:dyDescent="0.15">
      <c r="A115" s="5" t="s">
        <v>83</v>
      </c>
      <c r="B115" s="11">
        <v>-4.9352E-2</v>
      </c>
      <c r="C115" s="11">
        <v>-1.1493E-2</v>
      </c>
      <c r="D115" s="11">
        <v>2.8228E-2</v>
      </c>
      <c r="E115" s="11">
        <v>0.127609</v>
      </c>
      <c r="F115" s="11">
        <v>7.9986000000000002E-2</v>
      </c>
    </row>
    <row r="116" spans="1:6" x14ac:dyDescent="0.15">
      <c r="A116" s="5" t="s">
        <v>216</v>
      </c>
      <c r="B116" s="11">
        <v>-9.4228000000000006E-2</v>
      </c>
      <c r="C116" s="11">
        <v>-1.4881E-2</v>
      </c>
      <c r="D116" s="11">
        <v>2.8558E-2</v>
      </c>
      <c r="E116" s="11">
        <v>0.161186</v>
      </c>
      <c r="F116" s="11">
        <v>7.8747999999999999E-2</v>
      </c>
    </row>
    <row r="117" spans="1:6" x14ac:dyDescent="0.15">
      <c r="A117" s="5" t="s">
        <v>215</v>
      </c>
      <c r="B117" s="11">
        <v>-0.14318600000000001</v>
      </c>
      <c r="C117" s="11">
        <v>-2.4698999999999999E-2</v>
      </c>
      <c r="D117" s="11">
        <v>3.2122999999999999E-2</v>
      </c>
      <c r="E117" s="11">
        <v>0.22739799999999999</v>
      </c>
      <c r="F117" s="11">
        <v>7.6333999999999999E-2</v>
      </c>
    </row>
    <row r="118" spans="1:6" x14ac:dyDescent="0.15">
      <c r="A118" s="5" t="s">
        <v>214</v>
      </c>
      <c r="B118" s="11">
        <v>-0.15396399999999999</v>
      </c>
      <c r="C118" s="11">
        <v>-2.3730000000000001E-2</v>
      </c>
      <c r="D118" s="11">
        <v>3.3148999999999998E-2</v>
      </c>
      <c r="E118" s="11">
        <v>0.24876500000000001</v>
      </c>
      <c r="F118" s="11">
        <v>8.0407999999999993E-2</v>
      </c>
    </row>
    <row r="119" spans="1:6" ht="12" x14ac:dyDescent="0.15">
      <c r="A119" s="5" t="s">
        <v>58</v>
      </c>
      <c r="B119" s="11" t="s">
        <v>30</v>
      </c>
      <c r="C119" s="11">
        <v>0.18862699999999999</v>
      </c>
      <c r="D119" s="11">
        <v>8.5800000000000001E-2</v>
      </c>
      <c r="E119" s="11" t="s">
        <v>30</v>
      </c>
      <c r="F119" s="11">
        <v>-0.310056</v>
      </c>
    </row>
    <row r="120" spans="1:6" ht="12" x14ac:dyDescent="0.15">
      <c r="A120" s="5" t="s">
        <v>53</v>
      </c>
      <c r="B120" s="11" t="s">
        <v>30</v>
      </c>
      <c r="C120" s="11">
        <v>0.202214</v>
      </c>
      <c r="D120" s="11">
        <v>7.3825000000000002E-2</v>
      </c>
      <c r="E120" s="11" t="s">
        <v>30</v>
      </c>
      <c r="F120" s="11">
        <v>-0.33489200000000002</v>
      </c>
    </row>
    <row r="121" spans="1:6" x14ac:dyDescent="0.15">
      <c r="A121" s="5" t="s">
        <v>213</v>
      </c>
      <c r="B121" s="11">
        <v>-0.22414200000000001</v>
      </c>
      <c r="C121" s="11">
        <v>-9.2119999999999997E-3</v>
      </c>
      <c r="D121" s="11">
        <v>2.5812000000000002E-2</v>
      </c>
      <c r="E121" s="11">
        <v>0.37332399999999999</v>
      </c>
      <c r="F121" s="11">
        <v>-8.4498000000000004E-2</v>
      </c>
    </row>
    <row r="122" spans="1:6" ht="12" x14ac:dyDescent="0.15">
      <c r="A122" s="5" t="s">
        <v>212</v>
      </c>
      <c r="B122" s="11" t="s">
        <v>30</v>
      </c>
      <c r="C122" s="11">
        <v>0.19869999999999999</v>
      </c>
      <c r="D122" s="11">
        <v>7.2433999999999998E-2</v>
      </c>
      <c r="E122" s="11" t="s">
        <v>30</v>
      </c>
      <c r="F122" s="11">
        <v>-0.32940900000000001</v>
      </c>
    </row>
    <row r="123" spans="1:6" x14ac:dyDescent="0.15">
      <c r="A123" s="5"/>
      <c r="B123" s="5"/>
      <c r="C123" s="5"/>
      <c r="D123" s="5"/>
      <c r="E123" s="5"/>
      <c r="F123" s="5"/>
    </row>
    <row r="124" spans="1:6" x14ac:dyDescent="0.15">
      <c r="A124" s="5" t="s">
        <v>211</v>
      </c>
      <c r="B124" s="11">
        <v>-0.117896</v>
      </c>
      <c r="C124" s="11">
        <v>-2.7319E-2</v>
      </c>
      <c r="D124" s="11">
        <v>2.1746000000000001E-2</v>
      </c>
      <c r="E124" s="11">
        <v>0.235981</v>
      </c>
      <c r="F124" s="11">
        <v>9.3648999999999996E-2</v>
      </c>
    </row>
    <row r="125" spans="1:6" x14ac:dyDescent="0.15">
      <c r="A125" s="5" t="s">
        <v>210</v>
      </c>
      <c r="B125" s="11">
        <v>2.579E-2</v>
      </c>
      <c r="C125" s="11">
        <v>8.2873000000000002E-2</v>
      </c>
      <c r="D125" s="11">
        <v>0.13666900000000001</v>
      </c>
      <c r="E125" s="11">
        <v>0.238651</v>
      </c>
      <c r="F125" s="11">
        <v>0.13577600000000001</v>
      </c>
    </row>
    <row r="126" spans="1:6" x14ac:dyDescent="0.15">
      <c r="A126" s="5" t="s">
        <v>209</v>
      </c>
      <c r="B126" s="11">
        <v>1.2847000000000001E-2</v>
      </c>
      <c r="C126" s="11">
        <v>2.9687999999999999E-2</v>
      </c>
      <c r="D126" s="11">
        <v>8.8149999999999999E-3</v>
      </c>
      <c r="E126" s="11">
        <v>8.5442000000000004E-2</v>
      </c>
      <c r="F126" s="11">
        <v>5.7775E-2</v>
      </c>
    </row>
    <row r="127" spans="1:6" x14ac:dyDescent="0.15">
      <c r="A127" s="5" t="s">
        <v>208</v>
      </c>
      <c r="B127" s="11">
        <v>1.2815999999999999E-2</v>
      </c>
      <c r="C127" s="11">
        <v>5.0394000000000001E-2</v>
      </c>
      <c r="D127" s="11">
        <v>4.0631E-2</v>
      </c>
      <c r="E127" s="11">
        <v>8.9626999999999998E-2</v>
      </c>
      <c r="F127" s="11">
        <v>3.2523000000000003E-2</v>
      </c>
    </row>
    <row r="128" spans="1:6" x14ac:dyDescent="0.15">
      <c r="A128" s="5"/>
      <c r="B128" s="5"/>
      <c r="C128" s="5"/>
      <c r="D128" s="5"/>
      <c r="E128" s="5"/>
      <c r="F128" s="5"/>
    </row>
    <row r="129" spans="1:6" ht="12" x14ac:dyDescent="0.15">
      <c r="A129" s="5" t="s">
        <v>207</v>
      </c>
      <c r="B129" s="11" t="s">
        <v>30</v>
      </c>
      <c r="C129" s="11" t="s">
        <v>30</v>
      </c>
      <c r="D129" s="11" t="s">
        <v>30</v>
      </c>
      <c r="E129" s="11" t="s">
        <v>30</v>
      </c>
      <c r="F129" s="11" t="s">
        <v>30</v>
      </c>
    </row>
    <row r="130" spans="1:6" x14ac:dyDescent="0.15">
      <c r="A130" s="5" t="s">
        <v>206</v>
      </c>
      <c r="B130" s="11">
        <v>1.7730000000000001E-3</v>
      </c>
      <c r="C130" s="11">
        <v>6.1151999999999998E-2</v>
      </c>
      <c r="D130" s="11">
        <v>6.5840999999999997E-2</v>
      </c>
      <c r="E130" s="11">
        <v>0.14410600000000001</v>
      </c>
      <c r="F130" s="11">
        <v>4.1026E-2</v>
      </c>
    </row>
    <row r="131" spans="1:6" x14ac:dyDescent="0.15">
      <c r="A131" s="5" t="s">
        <v>205</v>
      </c>
      <c r="B131" s="11">
        <v>-6.8663000000000002E-2</v>
      </c>
      <c r="C131" s="11">
        <v>-1.5979E-2</v>
      </c>
      <c r="D131" s="11">
        <v>1.2074E-2</v>
      </c>
      <c r="E131" s="11">
        <v>0.122042</v>
      </c>
      <c r="F131" s="11">
        <v>9.5905000000000004E-2</v>
      </c>
    </row>
    <row r="132" spans="1:6" x14ac:dyDescent="0.15">
      <c r="A132" s="5" t="s">
        <v>204</v>
      </c>
      <c r="B132" s="11">
        <v>-3.9896000000000001E-2</v>
      </c>
      <c r="C132" s="11">
        <v>-0.11155900000000001</v>
      </c>
      <c r="D132" s="11">
        <v>-2.2067E-2</v>
      </c>
      <c r="E132" s="11">
        <v>0.174843</v>
      </c>
      <c r="F132" s="11">
        <v>0.181557</v>
      </c>
    </row>
    <row r="133" spans="1:6" x14ac:dyDescent="0.15">
      <c r="A133" s="5" t="s">
        <v>203</v>
      </c>
      <c r="B133" s="11">
        <v>4.0925999999999997E-2</v>
      </c>
      <c r="C133" s="11">
        <v>9.4409999999999994E-2</v>
      </c>
      <c r="D133" s="11">
        <v>4.4736999999999999E-2</v>
      </c>
      <c r="E133" s="11">
        <v>-0.25394800000000001</v>
      </c>
      <c r="F133" s="11">
        <v>6.5396999999999997E-2</v>
      </c>
    </row>
    <row r="134" spans="1:6" x14ac:dyDescent="0.15">
      <c r="A134" s="5" t="s">
        <v>202</v>
      </c>
      <c r="B134" s="11">
        <v>3.7177000000000002E-2</v>
      </c>
      <c r="C134" s="11">
        <v>7.8189999999999996E-2</v>
      </c>
      <c r="D134" s="11">
        <v>3.2454999999999998E-2</v>
      </c>
      <c r="E134" s="11">
        <v>-0.17172299999999999</v>
      </c>
      <c r="F134" s="11">
        <v>7.4245000000000005E-2</v>
      </c>
    </row>
    <row r="135" spans="1:6" x14ac:dyDescent="0.15">
      <c r="A135" s="5" t="s">
        <v>201</v>
      </c>
      <c r="B135" s="11">
        <v>-0.21910399999999999</v>
      </c>
      <c r="C135" s="11">
        <v>-8.1455E-2</v>
      </c>
      <c r="D135" s="11">
        <v>9.8239999999999994E-3</v>
      </c>
      <c r="E135" s="11">
        <v>0.35201900000000003</v>
      </c>
      <c r="F135" s="11">
        <v>0.14471400000000001</v>
      </c>
    </row>
    <row r="136" spans="1:6" x14ac:dyDescent="0.15">
      <c r="A136" s="5"/>
      <c r="B136" s="5"/>
      <c r="C136" s="5"/>
      <c r="D136" s="5"/>
      <c r="E136" s="5"/>
      <c r="F136" s="5"/>
    </row>
    <row r="137" spans="1:6" x14ac:dyDescent="0.15">
      <c r="A137" s="7" t="s">
        <v>217</v>
      </c>
      <c r="B137" s="5"/>
      <c r="C137" s="5"/>
      <c r="D137" s="5"/>
      <c r="E137" s="5"/>
      <c r="F137" s="5"/>
    </row>
    <row r="138" spans="1:6" x14ac:dyDescent="0.15">
      <c r="A138" s="5" t="s">
        <v>85</v>
      </c>
      <c r="B138" s="11">
        <v>-7.8849999999999996E-3</v>
      </c>
      <c r="C138" s="11">
        <v>1.0815999999999999E-2</v>
      </c>
      <c r="D138" s="11">
        <v>5.8539000000000001E-2</v>
      </c>
      <c r="E138" s="11">
        <v>6.1872000000000003E-2</v>
      </c>
      <c r="F138" s="11">
        <v>4.4658999999999997E-2</v>
      </c>
    </row>
    <row r="139" spans="1:6" x14ac:dyDescent="0.15">
      <c r="A139" s="5" t="s">
        <v>83</v>
      </c>
      <c r="B139" s="11">
        <v>-1.0787E-2</v>
      </c>
      <c r="C139" s="11">
        <v>1.0244E-2</v>
      </c>
      <c r="D139" s="11">
        <v>3.6544E-2</v>
      </c>
      <c r="E139" s="11">
        <v>3.7141E-2</v>
      </c>
      <c r="F139" s="11">
        <v>2.5590999999999999E-2</v>
      </c>
    </row>
    <row r="140" spans="1:6" x14ac:dyDescent="0.15">
      <c r="A140" s="5" t="s">
        <v>216</v>
      </c>
      <c r="B140" s="11">
        <v>-3.7728999999999999E-2</v>
      </c>
      <c r="C140" s="11">
        <v>3.4250000000000001E-3</v>
      </c>
      <c r="D140" s="11">
        <v>3.8036E-2</v>
      </c>
      <c r="E140" s="11">
        <v>2.9443E-2</v>
      </c>
      <c r="F140" s="11">
        <v>1.7467E-2</v>
      </c>
    </row>
    <row r="141" spans="1:6" x14ac:dyDescent="0.15">
      <c r="A141" s="5" t="s">
        <v>215</v>
      </c>
      <c r="B141" s="11">
        <v>-6.3626000000000002E-2</v>
      </c>
      <c r="C141" s="11">
        <v>2.0500000000000002E-3</v>
      </c>
      <c r="D141" s="11">
        <v>4.2724999999999999E-2</v>
      </c>
      <c r="E141" s="11">
        <v>2.7970999999999999E-2</v>
      </c>
      <c r="F141" s="11">
        <v>8.9339999999999992E-3</v>
      </c>
    </row>
    <row r="142" spans="1:6" x14ac:dyDescent="0.15">
      <c r="A142" s="5" t="s">
        <v>214</v>
      </c>
      <c r="B142" s="11">
        <v>-6.8229999999999999E-2</v>
      </c>
      <c r="C142" s="11">
        <v>3.9119999999999997E-3</v>
      </c>
      <c r="D142" s="11">
        <v>4.6027999999999999E-2</v>
      </c>
      <c r="E142" s="11">
        <v>3.0356000000000001E-2</v>
      </c>
      <c r="F142" s="11">
        <v>9.6799999999999994E-3</v>
      </c>
    </row>
    <row r="143" spans="1:6" ht="12" x14ac:dyDescent="0.15">
      <c r="A143" s="5" t="s">
        <v>58</v>
      </c>
      <c r="B143" s="11" t="s">
        <v>30</v>
      </c>
      <c r="C143" s="11">
        <v>0.15243899999999999</v>
      </c>
      <c r="D143" s="11">
        <v>7.1364999999999998E-2</v>
      </c>
      <c r="E143" s="11">
        <v>2.6662999999999999E-2</v>
      </c>
      <c r="F143" s="11">
        <v>-0.133297</v>
      </c>
    </row>
    <row r="144" spans="1:6" ht="12" x14ac:dyDescent="0.15">
      <c r="A144" s="5" t="s">
        <v>53</v>
      </c>
      <c r="B144" s="11" t="s">
        <v>30</v>
      </c>
      <c r="C144" s="11">
        <v>0.166348</v>
      </c>
      <c r="D144" s="11">
        <v>6.7470000000000002E-2</v>
      </c>
      <c r="E144" s="11">
        <v>3.7894999999999998E-2</v>
      </c>
      <c r="F144" s="11">
        <v>-0.14702599999999999</v>
      </c>
    </row>
    <row r="145" spans="1:6" x14ac:dyDescent="0.15">
      <c r="A145" s="5" t="s">
        <v>213</v>
      </c>
      <c r="B145" s="11">
        <v>-0.117118</v>
      </c>
      <c r="C145" s="11">
        <v>2.2483E-2</v>
      </c>
      <c r="D145" s="11">
        <v>5.6939999999999998E-2</v>
      </c>
      <c r="E145" s="11">
        <v>1.7124E-2</v>
      </c>
      <c r="F145" s="11">
        <v>-7.4591000000000005E-2</v>
      </c>
    </row>
    <row r="146" spans="1:6" ht="12" x14ac:dyDescent="0.15">
      <c r="A146" s="5" t="s">
        <v>212</v>
      </c>
      <c r="B146" s="11" t="s">
        <v>30</v>
      </c>
      <c r="C146" s="11">
        <v>0.164025</v>
      </c>
      <c r="D146" s="11">
        <v>6.5248E-2</v>
      </c>
      <c r="E146" s="11">
        <v>4.0679E-2</v>
      </c>
      <c r="F146" s="11">
        <v>-0.14327500000000001</v>
      </c>
    </row>
    <row r="147" spans="1:6" x14ac:dyDescent="0.15">
      <c r="A147" s="5"/>
      <c r="B147" s="5"/>
      <c r="C147" s="5"/>
      <c r="D147" s="5"/>
      <c r="E147" s="5"/>
      <c r="F147" s="5"/>
    </row>
    <row r="148" spans="1:6" x14ac:dyDescent="0.15">
      <c r="A148" s="5" t="s">
        <v>211</v>
      </c>
      <c r="B148" s="11">
        <v>-4.0274999999999998E-2</v>
      </c>
      <c r="C148" s="11">
        <v>7.3590000000000001E-3</v>
      </c>
      <c r="D148" s="11">
        <v>3.6739000000000001E-2</v>
      </c>
      <c r="E148" s="11">
        <v>5.3948999999999997E-2</v>
      </c>
      <c r="F148" s="11">
        <v>1.3316E-2</v>
      </c>
    </row>
    <row r="149" spans="1:6" x14ac:dyDescent="0.15">
      <c r="A149" s="5" t="s">
        <v>210</v>
      </c>
      <c r="B149" s="11">
        <v>2.8420000000000001E-2</v>
      </c>
      <c r="C149" s="11">
        <v>8.5453000000000001E-2</v>
      </c>
      <c r="D149" s="11">
        <v>0.123697</v>
      </c>
      <c r="E149" s="11">
        <v>0.141489</v>
      </c>
      <c r="F149" s="11">
        <v>0.10049</v>
      </c>
    </row>
    <row r="150" spans="1:6" x14ac:dyDescent="0.15">
      <c r="A150" s="5" t="s">
        <v>209</v>
      </c>
      <c r="B150" s="11">
        <v>3.8736E-2</v>
      </c>
      <c r="C150" s="11">
        <v>6.0796999999999997E-2</v>
      </c>
      <c r="D150" s="11">
        <v>4.1494999999999997E-2</v>
      </c>
      <c r="E150" s="11">
        <v>5.3948999999999997E-2</v>
      </c>
      <c r="F150" s="11">
        <v>2.0375000000000001E-2</v>
      </c>
    </row>
    <row r="151" spans="1:6" x14ac:dyDescent="0.15">
      <c r="A151" s="5" t="s">
        <v>208</v>
      </c>
      <c r="B151" s="11">
        <v>1.221E-2</v>
      </c>
      <c r="C151" s="11">
        <v>4.4354999999999999E-2</v>
      </c>
      <c r="D151" s="11">
        <v>5.0140999999999998E-2</v>
      </c>
      <c r="E151" s="11">
        <v>5.5241999999999999E-2</v>
      </c>
      <c r="F151" s="11">
        <v>2.9472999999999999E-2</v>
      </c>
    </row>
    <row r="152" spans="1:6" x14ac:dyDescent="0.15">
      <c r="A152" s="5"/>
      <c r="B152" s="5"/>
      <c r="C152" s="5"/>
      <c r="D152" s="5"/>
      <c r="E152" s="5"/>
      <c r="F152" s="5"/>
    </row>
    <row r="153" spans="1:6" ht="12" x14ac:dyDescent="0.15">
      <c r="A153" s="5" t="s">
        <v>207</v>
      </c>
      <c r="B153" s="11" t="s">
        <v>30</v>
      </c>
      <c r="C153" s="11" t="s">
        <v>30</v>
      </c>
      <c r="D153" s="11" t="s">
        <v>30</v>
      </c>
      <c r="E153" s="11" t="s">
        <v>30</v>
      </c>
      <c r="F153" s="11" t="s">
        <v>30</v>
      </c>
    </row>
    <row r="154" spans="1:6" x14ac:dyDescent="0.15">
      <c r="A154" s="5" t="s">
        <v>206</v>
      </c>
      <c r="B154" s="11">
        <v>-2.1220000000000002E-3</v>
      </c>
      <c r="C154" s="11">
        <v>5.5662999999999997E-2</v>
      </c>
      <c r="D154" s="11">
        <v>7.9757999999999996E-2</v>
      </c>
      <c r="E154" s="11">
        <v>6.6658999999999996E-2</v>
      </c>
      <c r="F154" s="11">
        <v>3.9317999999999999E-2</v>
      </c>
    </row>
    <row r="155" spans="1:6" x14ac:dyDescent="0.15">
      <c r="A155" s="5" t="s">
        <v>205</v>
      </c>
      <c r="B155" s="11">
        <v>-2.1107999999999998E-2</v>
      </c>
      <c r="C155" s="11">
        <v>2.3751000000000001E-2</v>
      </c>
      <c r="D155" s="11">
        <v>2.9803E-2</v>
      </c>
      <c r="E155" s="11">
        <v>1.9070000000000001E-3</v>
      </c>
      <c r="F155" s="11">
        <v>4.8773999999999998E-2</v>
      </c>
    </row>
    <row r="156" spans="1:6" x14ac:dyDescent="0.15">
      <c r="A156" s="5" t="s">
        <v>204</v>
      </c>
      <c r="B156" s="11">
        <v>-1.7316999999999999E-2</v>
      </c>
      <c r="C156" s="11">
        <v>-5.5018999999999998E-2</v>
      </c>
      <c r="D156" s="11">
        <v>1.0959999999999999E-2</v>
      </c>
      <c r="E156" s="11">
        <v>5.2116000000000003E-2</v>
      </c>
      <c r="F156" s="11">
        <v>2.6636E-2</v>
      </c>
    </row>
    <row r="157" spans="1:6" x14ac:dyDescent="0.15">
      <c r="A157" s="5" t="s">
        <v>203</v>
      </c>
      <c r="B157" s="11">
        <v>-5.5843999999999998E-2</v>
      </c>
      <c r="C157" s="11">
        <v>8.6460999999999996E-2</v>
      </c>
      <c r="D157" s="11">
        <v>0.11447</v>
      </c>
      <c r="E157" s="11">
        <v>-0.18465500000000001</v>
      </c>
      <c r="F157" s="11">
        <v>6.4443E-2</v>
      </c>
    </row>
    <row r="158" spans="1:6" x14ac:dyDescent="0.15">
      <c r="A158" s="5" t="s">
        <v>202</v>
      </c>
      <c r="B158" s="11">
        <v>-4.2803000000000001E-2</v>
      </c>
      <c r="C158" s="11">
        <v>7.732E-2</v>
      </c>
      <c r="D158" s="11">
        <v>9.6190999999999999E-2</v>
      </c>
      <c r="E158" s="11">
        <v>-0.12751299999999999</v>
      </c>
      <c r="F158" s="11">
        <v>6.2608999999999998E-2</v>
      </c>
    </row>
    <row r="159" spans="1:6" x14ac:dyDescent="0.15">
      <c r="A159" s="5" t="s">
        <v>201</v>
      </c>
      <c r="B159" s="11">
        <v>-0.116451</v>
      </c>
      <c r="C159" s="11">
        <v>-1.5391999999999999E-2</v>
      </c>
      <c r="D159" s="11">
        <v>3.3107999999999999E-2</v>
      </c>
      <c r="E159" s="11">
        <v>1.5746E-2</v>
      </c>
      <c r="F159" s="11">
        <v>2.0565E-2</v>
      </c>
    </row>
    <row r="160" spans="1:6" x14ac:dyDescent="0.15">
      <c r="A160" s="5"/>
      <c r="B160" s="5"/>
      <c r="C160" s="5"/>
      <c r="D160" s="5"/>
      <c r="E160" s="5"/>
      <c r="F160" s="5"/>
    </row>
    <row r="161" spans="1:6" ht="72" x14ac:dyDescent="0.15">
      <c r="A161" s="35" t="s">
        <v>0</v>
      </c>
      <c r="B161" s="3"/>
      <c r="C161" s="3"/>
      <c r="D161" s="3"/>
      <c r="E161" s="3"/>
      <c r="F161" s="3"/>
    </row>
  </sheetData>
  <pageMargins left="0.2" right="0.2" top="0.5" bottom="0.5" header="0.5" footer="0.5"/>
  <pageSetup fitToWidth="0" fitToHeight="0" orientation="landscape" horizontalDpi="0" verticalDpi="0"/>
  <headerFooter alignWithMargins="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DEDEB-55A9-F842-AF60-258CB16E78D1}">
  <sheetPr codeName="Sheet8">
    <outlinePr summaryBelow="0" summaryRight="0"/>
    <pageSetUpPr autoPageBreaks="0"/>
  </sheetPr>
  <dimension ref="A5:IU161"/>
  <sheetViews>
    <sheetView workbookViewId="0">
      <selection activeCell="A55" sqref="A55"/>
    </sheetView>
  </sheetViews>
  <sheetFormatPr baseColWidth="10" defaultColWidth="10.83203125" defaultRowHeight="11" x14ac:dyDescent="0.15"/>
  <cols>
    <col min="1" max="1" width="45.83203125" style="1" customWidth="1"/>
    <col min="2" max="6" width="14.83203125" style="1" customWidth="1"/>
    <col min="7" max="256" width="8.83203125" style="1" customWidth="1"/>
    <col min="257" max="16384" width="10.83203125" style="1"/>
  </cols>
  <sheetData>
    <row r="5" spans="1:255" ht="17" x14ac:dyDescent="0.2">
      <c r="A5" s="23" t="s">
        <v>263</v>
      </c>
    </row>
    <row r="7" spans="1:255" x14ac:dyDescent="0.15">
      <c r="A7" s="5"/>
      <c r="B7" s="20" t="s">
        <v>114</v>
      </c>
      <c r="C7" s="1" t="s">
        <v>113</v>
      </c>
      <c r="D7" s="5" t="s">
        <v>98</v>
      </c>
      <c r="E7" s="20" t="s">
        <v>112</v>
      </c>
      <c r="F7" s="1" t="s">
        <v>111</v>
      </c>
    </row>
    <row r="8" spans="1:255" x14ac:dyDescent="0.15">
      <c r="A8" s="5"/>
      <c r="B8" s="20" t="s">
        <v>110</v>
      </c>
      <c r="C8" s="1" t="s">
        <v>109</v>
      </c>
      <c r="D8" s="5" t="s">
        <v>98</v>
      </c>
      <c r="E8" s="20" t="s">
        <v>102</v>
      </c>
      <c r="F8" s="21" t="s">
        <v>101</v>
      </c>
    </row>
    <row r="9" spans="1:255" x14ac:dyDescent="0.15">
      <c r="A9" s="5"/>
      <c r="B9" s="20" t="s">
        <v>100</v>
      </c>
      <c r="C9" s="1" t="s">
        <v>99</v>
      </c>
      <c r="D9" s="5" t="s">
        <v>98</v>
      </c>
      <c r="E9" s="19"/>
      <c r="F9" s="19"/>
    </row>
    <row r="12" spans="1:255" x14ac:dyDescent="0.15">
      <c r="A12" s="18" t="s">
        <v>261</v>
      </c>
      <c r="B12" s="18"/>
      <c r="C12" s="18"/>
      <c r="D12" s="18"/>
      <c r="E12" s="18"/>
      <c r="F12" s="18"/>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c r="IK12" s="17"/>
      <c r="IL12" s="17"/>
      <c r="IM12" s="17"/>
      <c r="IN12" s="17"/>
      <c r="IO12" s="17"/>
      <c r="IP12" s="17"/>
      <c r="IQ12" s="17"/>
      <c r="IR12" s="17"/>
      <c r="IS12" s="17"/>
      <c r="IT12" s="17"/>
      <c r="IU12" s="17"/>
    </row>
    <row r="13" spans="1:255" ht="24" x14ac:dyDescent="0.15">
      <c r="A13" s="27" t="s">
        <v>96</v>
      </c>
      <c r="B13" s="28">
        <v>2020</v>
      </c>
      <c r="C13" s="28">
        <v>2021</v>
      </c>
      <c r="D13" s="28">
        <v>2022</v>
      </c>
      <c r="E13" s="28">
        <v>2023</v>
      </c>
      <c r="F13" s="28">
        <v>2024</v>
      </c>
    </row>
    <row r="14" spans="1:255" x14ac:dyDescent="0.15">
      <c r="A14" s="7" t="s">
        <v>195</v>
      </c>
      <c r="B14" s="5"/>
      <c r="C14" s="5"/>
      <c r="D14" s="5"/>
      <c r="E14" s="5"/>
      <c r="F14" s="5"/>
    </row>
    <row r="15" spans="1:255" x14ac:dyDescent="0.15">
      <c r="A15" s="5" t="s">
        <v>260</v>
      </c>
      <c r="B15" s="11">
        <v>6.0131999999999998E-2</v>
      </c>
      <c r="C15" s="11">
        <v>6.7716999999999999E-2</v>
      </c>
      <c r="D15" s="11">
        <v>7.1889999999999996E-2</v>
      </c>
      <c r="E15" s="11">
        <v>7.3523000000000005E-2</v>
      </c>
      <c r="F15" s="11">
        <v>7.9146999999999995E-2</v>
      </c>
    </row>
    <row r="16" spans="1:255" x14ac:dyDescent="0.15">
      <c r="A16" s="5" t="s">
        <v>259</v>
      </c>
      <c r="B16" s="11">
        <v>6.5811999999999996E-2</v>
      </c>
      <c r="C16" s="11">
        <v>7.3522000000000004E-2</v>
      </c>
      <c r="D16" s="11">
        <v>7.9463000000000006E-2</v>
      </c>
      <c r="E16" s="11">
        <v>8.3099000000000006E-2</v>
      </c>
      <c r="F16" s="11">
        <v>8.9929999999999996E-2</v>
      </c>
    </row>
    <row r="17" spans="1:6" x14ac:dyDescent="0.15">
      <c r="A17" s="5" t="s">
        <v>258</v>
      </c>
      <c r="B17" s="11">
        <v>1.6900000000000001E-3</v>
      </c>
      <c r="C17" s="11">
        <v>0.15390400000000001</v>
      </c>
      <c r="D17" s="11">
        <v>7.6000000000000004E-5</v>
      </c>
      <c r="E17" s="11">
        <v>-3.705E-3</v>
      </c>
      <c r="F17" s="11">
        <v>0.187802</v>
      </c>
    </row>
    <row r="18" spans="1:6" x14ac:dyDescent="0.15">
      <c r="A18" s="5" t="s">
        <v>257</v>
      </c>
      <c r="B18" s="11">
        <v>-9.5600000000000004E-4</v>
      </c>
      <c r="C18" s="11">
        <v>0.15529999999999999</v>
      </c>
      <c r="D18" s="11">
        <v>-3.189E-3</v>
      </c>
      <c r="E18" s="11">
        <v>-7.0479999999999996E-3</v>
      </c>
      <c r="F18" s="11">
        <v>0.190276</v>
      </c>
    </row>
    <row r="19" spans="1:6" x14ac:dyDescent="0.15">
      <c r="A19" s="5"/>
      <c r="B19" s="5"/>
      <c r="C19" s="5"/>
      <c r="D19" s="5"/>
      <c r="E19" s="5"/>
      <c r="F19" s="5"/>
    </row>
    <row r="20" spans="1:6" x14ac:dyDescent="0.15">
      <c r="A20" s="7" t="s">
        <v>256</v>
      </c>
      <c r="B20" s="5"/>
      <c r="C20" s="5"/>
      <c r="D20" s="5"/>
      <c r="E20" s="5"/>
      <c r="F20" s="5"/>
    </row>
    <row r="21" spans="1:6" x14ac:dyDescent="0.15">
      <c r="A21" s="5" t="s">
        <v>255</v>
      </c>
      <c r="B21" s="11">
        <v>0.51363300000000001</v>
      </c>
      <c r="C21" s="11">
        <v>0.53097499999999997</v>
      </c>
      <c r="D21" s="11">
        <v>0.534084</v>
      </c>
      <c r="E21" s="11">
        <v>0.50512000000000001</v>
      </c>
      <c r="F21" s="11">
        <v>0.50403500000000001</v>
      </c>
    </row>
    <row r="22" spans="1:6" x14ac:dyDescent="0.15">
      <c r="A22" s="5" t="s">
        <v>254</v>
      </c>
      <c r="B22" s="11">
        <v>0.1898</v>
      </c>
      <c r="C22" s="11">
        <v>0.18870700000000001</v>
      </c>
      <c r="D22" s="11">
        <v>0.18877099999999999</v>
      </c>
      <c r="E22" s="11">
        <v>0.190772</v>
      </c>
      <c r="F22" s="11">
        <v>0.18398200000000001</v>
      </c>
    </row>
    <row r="23" spans="1:6" x14ac:dyDescent="0.15">
      <c r="A23" s="5" t="s">
        <v>253</v>
      </c>
      <c r="B23" s="11">
        <v>0.36497800000000002</v>
      </c>
      <c r="C23" s="11">
        <v>0.37697399999999998</v>
      </c>
      <c r="D23" s="11">
        <v>0.38413000000000003</v>
      </c>
      <c r="E23" s="11">
        <v>0.35494900000000001</v>
      </c>
      <c r="F23" s="11">
        <v>0.363006</v>
      </c>
    </row>
    <row r="24" spans="1:6" x14ac:dyDescent="0.15">
      <c r="A24" s="5" t="s">
        <v>252</v>
      </c>
      <c r="B24" s="11">
        <v>0.32675700000000002</v>
      </c>
      <c r="C24" s="11">
        <v>0.34288200000000002</v>
      </c>
      <c r="D24" s="11">
        <v>0.34588999999999998</v>
      </c>
      <c r="E24" s="11">
        <v>0.31434699999999999</v>
      </c>
      <c r="F24" s="11">
        <v>0.320052</v>
      </c>
    </row>
    <row r="25" spans="1:6" x14ac:dyDescent="0.15">
      <c r="A25" s="5" t="s">
        <v>251</v>
      </c>
      <c r="B25" s="11">
        <v>0.32607399999999997</v>
      </c>
      <c r="C25" s="11">
        <v>0.34226699999999999</v>
      </c>
      <c r="D25" s="11">
        <v>0.34531200000000001</v>
      </c>
      <c r="E25" s="11">
        <v>0.31434699999999999</v>
      </c>
      <c r="F25" s="11">
        <v>0.320052</v>
      </c>
    </row>
    <row r="26" spans="1:6" x14ac:dyDescent="0.15">
      <c r="A26" s="5" t="s">
        <v>250</v>
      </c>
      <c r="B26" s="11">
        <v>2.5639999999999999E-3</v>
      </c>
      <c r="C26" s="11">
        <v>0.235847</v>
      </c>
      <c r="D26" s="11">
        <v>1.13E-4</v>
      </c>
      <c r="E26" s="11">
        <v>-4.0720000000000001E-3</v>
      </c>
      <c r="F26" s="11">
        <v>0.17719599999999999</v>
      </c>
    </row>
    <row r="27" spans="1:6" x14ac:dyDescent="0.15">
      <c r="A27" s="5" t="s">
        <v>249</v>
      </c>
      <c r="B27" s="11">
        <v>-1.4139999999999999E-3</v>
      </c>
      <c r="C27" s="11">
        <v>0.23192299999999999</v>
      </c>
      <c r="D27" s="11">
        <v>-4.5799999999999999E-3</v>
      </c>
      <c r="E27" s="11">
        <v>-7.5110000000000003E-3</v>
      </c>
      <c r="F27" s="11">
        <v>0.173402</v>
      </c>
    </row>
    <row r="28" spans="1:6" x14ac:dyDescent="0.15">
      <c r="A28" s="5" t="s">
        <v>248</v>
      </c>
      <c r="B28" s="11">
        <v>-1.4139999999999999E-3</v>
      </c>
      <c r="C28" s="11">
        <v>0.23192299999999999</v>
      </c>
      <c r="D28" s="11">
        <v>-4.5799999999999999E-3</v>
      </c>
      <c r="E28" s="11">
        <v>-7.5110000000000003E-3</v>
      </c>
      <c r="F28" s="11">
        <v>0.173402</v>
      </c>
    </row>
    <row r="29" spans="1:6" x14ac:dyDescent="0.15">
      <c r="A29" s="5" t="s">
        <v>247</v>
      </c>
      <c r="B29" s="11">
        <v>-3.2197000000000003E-2</v>
      </c>
      <c r="C29" s="11">
        <v>0.19165299999999999</v>
      </c>
      <c r="D29" s="11">
        <v>6.7445000000000005E-2</v>
      </c>
      <c r="E29" s="11">
        <v>2.7755999999999999E-2</v>
      </c>
      <c r="F29" s="11">
        <v>0.13612099999999999</v>
      </c>
    </row>
    <row r="30" spans="1:6" x14ac:dyDescent="0.15">
      <c r="A30" s="5" t="s">
        <v>246</v>
      </c>
      <c r="B30" s="11">
        <v>0.14960499999999999</v>
      </c>
      <c r="C30" s="11">
        <v>0.21507000000000001</v>
      </c>
      <c r="D30" s="11">
        <v>0.11948400000000001</v>
      </c>
      <c r="E30" s="11">
        <v>8.8166999999999995E-2</v>
      </c>
      <c r="F30" s="11">
        <v>8.8489999999999999E-2</v>
      </c>
    </row>
    <row r="31" spans="1:6" x14ac:dyDescent="0.15">
      <c r="A31" s="5" t="s">
        <v>245</v>
      </c>
      <c r="B31" s="11">
        <v>0.179789</v>
      </c>
      <c r="C31" s="11">
        <v>0.240232</v>
      </c>
      <c r="D31" s="11">
        <v>0.14021400000000001</v>
      </c>
      <c r="E31" s="11">
        <v>0.11253199999999999</v>
      </c>
      <c r="F31" s="11">
        <v>0.114676</v>
      </c>
    </row>
    <row r="32" spans="1:6" x14ac:dyDescent="0.15">
      <c r="A32" s="5"/>
      <c r="B32" s="5"/>
      <c r="C32" s="5"/>
      <c r="D32" s="5"/>
      <c r="E32" s="5"/>
      <c r="F32" s="5"/>
    </row>
    <row r="33" spans="1:6" x14ac:dyDescent="0.15">
      <c r="A33" s="7" t="s">
        <v>198</v>
      </c>
      <c r="B33" s="5"/>
      <c r="C33" s="5"/>
      <c r="D33" s="5"/>
      <c r="E33" s="5"/>
      <c r="F33" s="5"/>
    </row>
    <row r="34" spans="1:6" x14ac:dyDescent="0.15">
      <c r="A34" s="5" t="s">
        <v>244</v>
      </c>
      <c r="B34" s="36">
        <v>0.29505900000000002</v>
      </c>
      <c r="C34" s="36">
        <v>0.31656099999999998</v>
      </c>
      <c r="D34" s="36">
        <v>0.33310400000000001</v>
      </c>
      <c r="E34" s="36">
        <v>0.374226</v>
      </c>
      <c r="F34" s="36">
        <v>0.39567000000000002</v>
      </c>
    </row>
    <row r="35" spans="1:6" x14ac:dyDescent="0.15">
      <c r="A35" s="5" t="s">
        <v>243</v>
      </c>
      <c r="B35" s="36">
        <v>1.5058149999999999</v>
      </c>
      <c r="C35" s="36">
        <v>1.4223159999999999</v>
      </c>
      <c r="D35" s="36">
        <v>1.3741540000000001</v>
      </c>
      <c r="E35" s="36">
        <v>1.3653709999999999</v>
      </c>
      <c r="F35" s="36">
        <v>1.246923</v>
      </c>
    </row>
    <row r="36" spans="1:6" x14ac:dyDescent="0.15">
      <c r="A36" s="5" t="s">
        <v>242</v>
      </c>
      <c r="B36" s="36">
        <v>9.7487870000000001</v>
      </c>
      <c r="C36" s="36">
        <v>10.44167</v>
      </c>
      <c r="D36" s="36">
        <v>10.474024</v>
      </c>
      <c r="E36" s="36">
        <v>10.499389000000001</v>
      </c>
      <c r="F36" s="36">
        <v>11.487315000000001</v>
      </c>
    </row>
    <row r="37" spans="1:6" x14ac:dyDescent="0.15">
      <c r="A37" s="5" t="s">
        <v>241</v>
      </c>
      <c r="B37" s="36">
        <v>2.3162099999999999</v>
      </c>
      <c r="C37" s="36">
        <v>3.032686</v>
      </c>
      <c r="D37" s="36">
        <v>2.8696009999999998</v>
      </c>
      <c r="E37" s="36">
        <v>2.6947199999999998</v>
      </c>
      <c r="F37" s="36">
        <v>2.4846360000000001</v>
      </c>
    </row>
    <row r="38" spans="1:6" x14ac:dyDescent="0.15">
      <c r="A38" s="5"/>
      <c r="B38" s="5"/>
      <c r="C38" s="5"/>
      <c r="D38" s="5"/>
      <c r="E38" s="5"/>
      <c r="F38" s="5"/>
    </row>
    <row r="39" spans="1:6" x14ac:dyDescent="0.15">
      <c r="A39" s="7" t="s">
        <v>240</v>
      </c>
      <c r="B39" s="5"/>
      <c r="C39" s="5"/>
      <c r="D39" s="5"/>
      <c r="E39" s="5"/>
      <c r="F39" s="5"/>
    </row>
    <row r="40" spans="1:6" x14ac:dyDescent="0.15">
      <c r="A40" s="5" t="s">
        <v>239</v>
      </c>
      <c r="B40" s="36">
        <v>1.5070939999999999</v>
      </c>
      <c r="C40" s="36">
        <v>2.3989440000000002</v>
      </c>
      <c r="D40" s="36">
        <v>1.23377</v>
      </c>
      <c r="E40" s="36">
        <v>1.1778120000000001</v>
      </c>
      <c r="F40" s="36">
        <v>1.1870959999999999</v>
      </c>
    </row>
    <row r="41" spans="1:6" x14ac:dyDescent="0.15">
      <c r="A41" s="5" t="s">
        <v>238</v>
      </c>
      <c r="B41" s="36">
        <v>0.56086100000000005</v>
      </c>
      <c r="C41" s="36">
        <v>1.220628</v>
      </c>
      <c r="D41" s="36">
        <v>0.48858699999999999</v>
      </c>
      <c r="E41" s="36">
        <v>0.40740399999999999</v>
      </c>
      <c r="F41" s="36">
        <v>0.39243</v>
      </c>
    </row>
    <row r="42" spans="1:6" x14ac:dyDescent="0.15">
      <c r="A42" s="5" t="s">
        <v>237</v>
      </c>
      <c r="B42" s="36">
        <v>1.103512</v>
      </c>
      <c r="C42" s="36">
        <v>2.2114090000000002</v>
      </c>
      <c r="D42" s="36">
        <v>1.002445</v>
      </c>
      <c r="E42" s="36">
        <v>0.92878000000000005</v>
      </c>
      <c r="F42" s="36">
        <v>0.88487099999999996</v>
      </c>
    </row>
    <row r="43" spans="1:6" x14ac:dyDescent="0.15">
      <c r="A43" s="5" t="s">
        <v>236</v>
      </c>
      <c r="B43" s="8">
        <v>37.542816000000002</v>
      </c>
      <c r="C43" s="8">
        <v>34.956049999999998</v>
      </c>
      <c r="D43" s="8">
        <v>34.848010000000002</v>
      </c>
      <c r="E43" s="8">
        <v>34.763694999999998</v>
      </c>
      <c r="F43" s="8">
        <v>31.861032000000002</v>
      </c>
    </row>
    <row r="44" spans="1:6" x14ac:dyDescent="0.15">
      <c r="A44" s="5" t="s">
        <v>235</v>
      </c>
      <c r="B44" s="8">
        <v>158.01647399999999</v>
      </c>
      <c r="C44" s="8">
        <v>120.35509999999999</v>
      </c>
      <c r="D44" s="8">
        <v>127.1952</v>
      </c>
      <c r="E44" s="8">
        <v>135.45004</v>
      </c>
      <c r="F44" s="8">
        <v>147.30511799999999</v>
      </c>
    </row>
    <row r="45" spans="1:6" x14ac:dyDescent="0.15">
      <c r="A45" s="5" t="s">
        <v>234</v>
      </c>
      <c r="B45" s="8">
        <v>65.096394000000004</v>
      </c>
      <c r="C45" s="8">
        <v>46.919289999999997</v>
      </c>
      <c r="D45" s="8">
        <v>56.480829999999997</v>
      </c>
      <c r="E45" s="8">
        <v>67.139560000000003</v>
      </c>
      <c r="F45" s="8">
        <v>73.216836000000001</v>
      </c>
    </row>
    <row r="46" spans="1:6" x14ac:dyDescent="0.15">
      <c r="A46" s="5" t="s">
        <v>233</v>
      </c>
      <c r="B46" s="8">
        <v>130.462896</v>
      </c>
      <c r="C46" s="8">
        <v>108.39185999999999</v>
      </c>
      <c r="D46" s="8">
        <v>105.56238</v>
      </c>
      <c r="E46" s="8">
        <v>103.074175</v>
      </c>
      <c r="F46" s="8">
        <v>105.949314</v>
      </c>
    </row>
    <row r="47" spans="1:6" x14ac:dyDescent="0.15">
      <c r="A47" s="5"/>
      <c r="B47" s="5"/>
      <c r="C47" s="5"/>
      <c r="D47" s="5"/>
      <c r="E47" s="5"/>
      <c r="F47" s="5"/>
    </row>
    <row r="48" spans="1:6" x14ac:dyDescent="0.15">
      <c r="A48" s="7" t="s">
        <v>232</v>
      </c>
      <c r="B48" s="5"/>
      <c r="C48" s="5"/>
      <c r="D48" s="5"/>
      <c r="E48" s="5"/>
      <c r="F48" s="5"/>
    </row>
    <row r="49" spans="1:6" x14ac:dyDescent="0.15">
      <c r="A49" s="5" t="s">
        <v>231</v>
      </c>
      <c r="B49" s="11">
        <v>1.0217480000000001</v>
      </c>
      <c r="C49" s="11">
        <v>0.788435</v>
      </c>
      <c r="D49" s="11">
        <v>0.90926099999999999</v>
      </c>
      <c r="E49" s="11">
        <v>1.483884</v>
      </c>
      <c r="F49" s="11">
        <v>1.2476989999999999</v>
      </c>
    </row>
    <row r="50" spans="1:6" x14ac:dyDescent="0.15">
      <c r="A50" s="5" t="s">
        <v>266</v>
      </c>
      <c r="B50" s="11">
        <v>0.50537799999999999</v>
      </c>
      <c r="C50" s="11">
        <v>0.44085200000000002</v>
      </c>
      <c r="D50" s="11">
        <v>0.47623700000000002</v>
      </c>
      <c r="E50" s="11">
        <v>0.59740400000000005</v>
      </c>
      <c r="F50" s="11">
        <v>0.55510000000000004</v>
      </c>
    </row>
    <row r="51" spans="1:6" x14ac:dyDescent="0.15">
      <c r="A51" s="5" t="s">
        <v>230</v>
      </c>
      <c r="B51" s="11">
        <v>0.93747899999999995</v>
      </c>
      <c r="C51" s="11">
        <v>0.78139999999999998</v>
      </c>
      <c r="D51" s="11">
        <v>0.82553600000000005</v>
      </c>
      <c r="E51" s="11">
        <v>1.3400540000000001</v>
      </c>
      <c r="F51" s="11">
        <v>1.1197459999999999</v>
      </c>
    </row>
    <row r="52" spans="1:6" x14ac:dyDescent="0.15">
      <c r="A52" s="5" t="s">
        <v>229</v>
      </c>
      <c r="B52" s="11">
        <v>0.46369700000000003</v>
      </c>
      <c r="C52" s="11">
        <v>0.43691799999999997</v>
      </c>
      <c r="D52" s="11">
        <v>0.43238500000000002</v>
      </c>
      <c r="E52" s="11">
        <v>0.53949899999999995</v>
      </c>
      <c r="F52" s="11">
        <v>0.49817400000000001</v>
      </c>
    </row>
    <row r="53" spans="1:6" x14ac:dyDescent="0.15">
      <c r="A53" s="5" t="s">
        <v>228</v>
      </c>
      <c r="B53" s="11">
        <v>0.54345299999999996</v>
      </c>
      <c r="C53" s="11">
        <v>0.48610199999999998</v>
      </c>
      <c r="D53" s="11">
        <v>0.53403800000000001</v>
      </c>
      <c r="E53" s="11">
        <v>0.64585999999999999</v>
      </c>
      <c r="F53" s="11">
        <v>0.60825399999999996</v>
      </c>
    </row>
    <row r="54" spans="1:6" x14ac:dyDescent="0.15">
      <c r="A54" s="5"/>
      <c r="B54" s="5"/>
      <c r="C54" s="5"/>
      <c r="D54" s="5"/>
      <c r="E54" s="5"/>
      <c r="F54" s="5"/>
    </row>
    <row r="55" spans="1:6" x14ac:dyDescent="0.15">
      <c r="A55" s="5" t="s">
        <v>267</v>
      </c>
      <c r="B55" s="36">
        <v>6.3461619999999996</v>
      </c>
      <c r="C55" s="36">
        <v>7.6448010000000002</v>
      </c>
      <c r="D55" s="36">
        <v>8.5462959999999999</v>
      </c>
      <c r="E55" s="36">
        <v>7.0262469999999997</v>
      </c>
      <c r="F55" s="36">
        <v>7.310937</v>
      </c>
    </row>
    <row r="56" spans="1:6" x14ac:dyDescent="0.15">
      <c r="A56" s="5" t="s">
        <v>227</v>
      </c>
      <c r="B56" s="36">
        <v>8.2948439999999994</v>
      </c>
      <c r="C56" s="36">
        <v>9.2473419999999997</v>
      </c>
      <c r="D56" s="36">
        <v>10.349887000000001</v>
      </c>
      <c r="E56" s="36">
        <v>8.5942299999999996</v>
      </c>
      <c r="F56" s="36">
        <v>8.9589540000000003</v>
      </c>
    </row>
    <row r="57" spans="1:6" x14ac:dyDescent="0.15">
      <c r="A57" s="5" t="s">
        <v>226</v>
      </c>
      <c r="B57" s="36">
        <v>6.6001859999999999</v>
      </c>
      <c r="C57" s="36">
        <v>7.0057029999999996</v>
      </c>
      <c r="D57" s="36">
        <v>7.4688549999999996</v>
      </c>
      <c r="E57" s="36">
        <v>6.1458969999999997</v>
      </c>
      <c r="F57" s="36">
        <v>6.0488419999999996</v>
      </c>
    </row>
    <row r="58" spans="1:6" x14ac:dyDescent="0.15">
      <c r="A58" s="5" t="s">
        <v>225</v>
      </c>
      <c r="B58" s="36">
        <v>3.5842510000000001</v>
      </c>
      <c r="C58" s="36">
        <v>3.0790920000000002</v>
      </c>
      <c r="D58" s="36">
        <v>2.9697719999999999</v>
      </c>
      <c r="E58" s="36">
        <v>3.565855</v>
      </c>
      <c r="F58" s="36">
        <v>3.2141280000000001</v>
      </c>
    </row>
    <row r="59" spans="1:6" x14ac:dyDescent="0.15">
      <c r="A59" s="5" t="s">
        <v>224</v>
      </c>
      <c r="B59" s="36">
        <v>3.5613610000000002</v>
      </c>
      <c r="C59" s="36">
        <v>2.9499529999999998</v>
      </c>
      <c r="D59" s="36">
        <v>2.9157150000000001</v>
      </c>
      <c r="E59" s="36">
        <v>3.5291229999999998</v>
      </c>
      <c r="F59" s="36">
        <v>3.1751209999999999</v>
      </c>
    </row>
    <row r="60" spans="1:6" x14ac:dyDescent="0.15">
      <c r="A60" s="5" t="s">
        <v>223</v>
      </c>
      <c r="B60" s="36">
        <v>4.5045409999999997</v>
      </c>
      <c r="C60" s="36">
        <v>4.0643200000000004</v>
      </c>
      <c r="D60" s="36">
        <v>4.1153310000000003</v>
      </c>
      <c r="E60" s="36">
        <v>4.9863790000000003</v>
      </c>
      <c r="F60" s="36">
        <v>4.760453</v>
      </c>
    </row>
    <row r="61" spans="1:6" x14ac:dyDescent="0.15">
      <c r="A61" s="5" t="s">
        <v>222</v>
      </c>
      <c r="B61" s="36">
        <v>4.4757730000000002</v>
      </c>
      <c r="C61" s="36">
        <v>3.8938600000000001</v>
      </c>
      <c r="D61" s="36">
        <v>4.0404220000000004</v>
      </c>
      <c r="E61" s="36">
        <v>4.9350149999999999</v>
      </c>
      <c r="F61" s="36">
        <v>4.70268</v>
      </c>
    </row>
    <row r="62" spans="1:6" x14ac:dyDescent="0.15">
      <c r="A62" s="5"/>
      <c r="B62" s="5"/>
      <c r="C62" s="5"/>
      <c r="D62" s="5"/>
      <c r="E62" s="5"/>
      <c r="F62" s="5"/>
    </row>
    <row r="63" spans="1:6" x14ac:dyDescent="0.15">
      <c r="A63" s="5" t="s">
        <v>221</v>
      </c>
      <c r="B63" s="14">
        <v>2.8700399999999999</v>
      </c>
      <c r="C63" s="14">
        <v>3.154271</v>
      </c>
      <c r="D63" s="14">
        <v>3.4353880000000001</v>
      </c>
      <c r="E63" s="14">
        <v>3.187262</v>
      </c>
      <c r="F63" s="14">
        <v>3.2646459999999999</v>
      </c>
    </row>
    <row r="64" spans="1:6" x14ac:dyDescent="0.15">
      <c r="A64" s="5"/>
      <c r="B64" s="5"/>
      <c r="C64" s="5"/>
      <c r="D64" s="5"/>
      <c r="E64" s="5"/>
      <c r="F64" s="5"/>
    </row>
    <row r="65" spans="1:6" x14ac:dyDescent="0.15">
      <c r="A65" s="7" t="s">
        <v>220</v>
      </c>
      <c r="B65" s="5"/>
      <c r="C65" s="5"/>
      <c r="D65" s="5"/>
      <c r="E65" s="5"/>
      <c r="F65" s="5"/>
    </row>
    <row r="66" spans="1:6" x14ac:dyDescent="0.15">
      <c r="A66" s="5" t="s">
        <v>85</v>
      </c>
      <c r="B66" s="11">
        <v>2.8031E-2</v>
      </c>
      <c r="C66" s="11">
        <v>3.2528000000000001E-2</v>
      </c>
      <c r="D66" s="11">
        <v>2.3888E-2</v>
      </c>
      <c r="E66" s="11">
        <v>7.1637999999999993E-2</v>
      </c>
      <c r="F66" s="11">
        <v>5.3867999999999999E-2</v>
      </c>
    </row>
    <row r="67" spans="1:6" x14ac:dyDescent="0.15">
      <c r="A67" s="5" t="s">
        <v>83</v>
      </c>
      <c r="B67" s="11">
        <v>4.4377E-2</v>
      </c>
      <c r="C67" s="11">
        <v>6.7390000000000005E-2</v>
      </c>
      <c r="D67" s="11">
        <v>2.9884000000000001E-2</v>
      </c>
      <c r="E67" s="11">
        <v>1.3521E-2</v>
      </c>
      <c r="F67" s="11">
        <v>5.1604999999999998E-2</v>
      </c>
    </row>
    <row r="68" spans="1:6" x14ac:dyDescent="0.15">
      <c r="A68" s="5" t="s">
        <v>216</v>
      </c>
      <c r="B68" s="11">
        <v>2.8226999999999999E-2</v>
      </c>
      <c r="C68" s="11">
        <v>6.6464999999999996E-2</v>
      </c>
      <c r="D68" s="11">
        <v>4.3324000000000001E-2</v>
      </c>
      <c r="E68" s="11">
        <v>-9.7689999999999999E-3</v>
      </c>
      <c r="F68" s="11">
        <v>7.7788999999999997E-2</v>
      </c>
    </row>
    <row r="69" spans="1:6" x14ac:dyDescent="0.15">
      <c r="A69" s="5" t="s">
        <v>215</v>
      </c>
      <c r="B69" s="11">
        <v>3.3707000000000001E-2</v>
      </c>
      <c r="C69" s="11">
        <v>8.3483000000000002E-2</v>
      </c>
      <c r="D69" s="11">
        <v>3.2870999999999997E-2</v>
      </c>
      <c r="E69" s="11">
        <v>-2.6089999999999999E-2</v>
      </c>
      <c r="F69" s="11">
        <v>7.2995000000000004E-2</v>
      </c>
    </row>
    <row r="70" spans="1:6" x14ac:dyDescent="0.15">
      <c r="A70" s="5" t="s">
        <v>214</v>
      </c>
      <c r="B70" s="11">
        <v>3.3897999999999998E-2</v>
      </c>
      <c r="C70" s="11">
        <v>8.3805000000000004E-2</v>
      </c>
      <c r="D70" s="11">
        <v>3.2998E-2</v>
      </c>
      <c r="E70" s="11">
        <v>-2.4459999999999999E-2</v>
      </c>
      <c r="F70" s="11">
        <v>7.2995000000000004E-2</v>
      </c>
    </row>
    <row r="71" spans="1:6" ht="12" x14ac:dyDescent="0.15">
      <c r="A71" s="5" t="s">
        <v>58</v>
      </c>
      <c r="B71" s="11">
        <v>-0.99381399999999998</v>
      </c>
      <c r="C71" s="11">
        <v>93.943924999999993</v>
      </c>
      <c r="D71" s="11">
        <v>-0.99950799999999995</v>
      </c>
      <c r="E71" s="11" t="s">
        <v>30</v>
      </c>
      <c r="F71" s="11" t="s">
        <v>30</v>
      </c>
    </row>
    <row r="72" spans="1:6" ht="12" x14ac:dyDescent="0.15">
      <c r="A72" s="5" t="s">
        <v>53</v>
      </c>
      <c r="B72" s="11" t="s">
        <v>30</v>
      </c>
      <c r="C72" s="11" t="s">
        <v>30</v>
      </c>
      <c r="D72" s="11" t="s">
        <v>30</v>
      </c>
      <c r="E72" s="11" t="s">
        <v>30</v>
      </c>
      <c r="F72" s="11" t="s">
        <v>30</v>
      </c>
    </row>
    <row r="73" spans="1:6" ht="12" x14ac:dyDescent="0.15">
      <c r="A73" s="5" t="s">
        <v>213</v>
      </c>
      <c r="B73" s="11" t="s">
        <v>30</v>
      </c>
      <c r="C73" s="11" t="s">
        <v>30</v>
      </c>
      <c r="D73" s="11">
        <v>-0.63968199999999997</v>
      </c>
      <c r="E73" s="11">
        <v>-0.55896900000000005</v>
      </c>
      <c r="F73" s="11">
        <v>4.1682220000000001</v>
      </c>
    </row>
    <row r="74" spans="1:6" ht="12" x14ac:dyDescent="0.15">
      <c r="A74" s="5" t="s">
        <v>212</v>
      </c>
      <c r="B74" s="11" t="s">
        <v>30</v>
      </c>
      <c r="C74" s="11" t="s">
        <v>30</v>
      </c>
      <c r="D74" s="11" t="s">
        <v>30</v>
      </c>
      <c r="E74" s="11" t="s">
        <v>30</v>
      </c>
      <c r="F74" s="11" t="s">
        <v>30</v>
      </c>
    </row>
    <row r="75" spans="1:6" x14ac:dyDescent="0.15">
      <c r="A75" s="5"/>
      <c r="B75" s="5"/>
      <c r="C75" s="5"/>
      <c r="D75" s="5"/>
      <c r="E75" s="5"/>
      <c r="F75" s="5"/>
    </row>
    <row r="76" spans="1:6" x14ac:dyDescent="0.15">
      <c r="A76" s="5" t="s">
        <v>211</v>
      </c>
      <c r="B76" s="11">
        <v>2.1135000000000001E-2</v>
      </c>
      <c r="C76" s="11">
        <v>-9.1928999999999997E-2</v>
      </c>
      <c r="D76" s="11">
        <v>0.144785</v>
      </c>
      <c r="E76" s="11">
        <v>2.892E-3</v>
      </c>
      <c r="F76" s="11">
        <v>-7.6309000000000002E-2</v>
      </c>
    </row>
    <row r="77" spans="1:6" x14ac:dyDescent="0.15">
      <c r="A77" s="5" t="s">
        <v>210</v>
      </c>
      <c r="B77" s="11">
        <v>-0.35523900000000003</v>
      </c>
      <c r="C77" s="11">
        <v>-6.0061999999999997E-2</v>
      </c>
      <c r="D77" s="11">
        <v>0.21849499999999999</v>
      </c>
      <c r="E77" s="11">
        <v>0.206903</v>
      </c>
      <c r="F77" s="11">
        <v>9.4590999999999995E-2</v>
      </c>
    </row>
    <row r="78" spans="1:6" x14ac:dyDescent="0.15">
      <c r="A78" s="5" t="s">
        <v>209</v>
      </c>
      <c r="B78" s="11">
        <v>0.103867</v>
      </c>
      <c r="C78" s="11">
        <v>8.3430000000000004E-2</v>
      </c>
      <c r="D78" s="11">
        <v>3.7939000000000001E-2</v>
      </c>
      <c r="E78" s="11">
        <v>0.117641</v>
      </c>
      <c r="F78" s="11">
        <v>0.18648799999999999</v>
      </c>
    </row>
    <row r="79" spans="1:6" x14ac:dyDescent="0.15">
      <c r="A79" s="5" t="s">
        <v>208</v>
      </c>
      <c r="B79" s="11">
        <v>-6.5282999999999994E-2</v>
      </c>
      <c r="C79" s="11">
        <v>-7.9939999999999994E-3</v>
      </c>
      <c r="D79" s="11">
        <v>-4.6080999999999997E-2</v>
      </c>
      <c r="E79" s="11">
        <v>-4.616E-2</v>
      </c>
      <c r="F79" s="11">
        <v>4.1738999999999998E-2</v>
      </c>
    </row>
    <row r="80" spans="1:6" x14ac:dyDescent="0.15">
      <c r="A80" s="5"/>
      <c r="B80" s="5"/>
      <c r="C80" s="5"/>
      <c r="D80" s="5"/>
      <c r="E80" s="5"/>
      <c r="F80" s="5"/>
    </row>
    <row r="81" spans="1:6" ht="12" x14ac:dyDescent="0.15">
      <c r="A81" s="5" t="s">
        <v>207</v>
      </c>
      <c r="B81" s="11">
        <v>0.30986399999999997</v>
      </c>
      <c r="C81" s="11">
        <v>0.85608099999999998</v>
      </c>
      <c r="D81" s="11">
        <v>-0.63742600000000005</v>
      </c>
      <c r="E81" s="11" t="s">
        <v>30</v>
      </c>
      <c r="F81" s="11" t="s">
        <v>30</v>
      </c>
    </row>
    <row r="82" spans="1:6" x14ac:dyDescent="0.15">
      <c r="A82" s="5" t="s">
        <v>206</v>
      </c>
      <c r="B82" s="11">
        <v>-3.3399999999999999E-2</v>
      </c>
      <c r="C82" s="11">
        <v>0.12093</v>
      </c>
      <c r="D82" s="11">
        <v>-0.137291</v>
      </c>
      <c r="E82" s="11">
        <v>-0.28284500000000001</v>
      </c>
      <c r="F82" s="11">
        <v>0.15801699999999999</v>
      </c>
    </row>
    <row r="83" spans="1:6" x14ac:dyDescent="0.15">
      <c r="A83" s="5" t="s">
        <v>205</v>
      </c>
      <c r="B83" s="11">
        <v>0.135689</v>
      </c>
      <c r="C83" s="11">
        <v>0.10011299999999999</v>
      </c>
      <c r="D83" s="11">
        <v>-3.6024E-2</v>
      </c>
      <c r="E83" s="11">
        <v>1.9036000000000001E-2</v>
      </c>
      <c r="F83" s="11">
        <v>8.378E-3</v>
      </c>
    </row>
    <row r="84" spans="1:6" x14ac:dyDescent="0.15">
      <c r="A84" s="5" t="s">
        <v>204</v>
      </c>
      <c r="B84" s="11">
        <v>-0.18030099999999999</v>
      </c>
      <c r="C84" s="11">
        <v>0.19008900000000001</v>
      </c>
      <c r="D84" s="11">
        <v>0.18760099999999999</v>
      </c>
      <c r="E84" s="11">
        <v>8.3750000000000005E-3</v>
      </c>
      <c r="F84" s="11">
        <v>0.22570899999999999</v>
      </c>
    </row>
    <row r="85" spans="1:6" x14ac:dyDescent="0.15">
      <c r="A85" s="5" t="s">
        <v>203</v>
      </c>
      <c r="B85" s="11">
        <v>0.595217</v>
      </c>
      <c r="C85" s="11">
        <v>0.48434199999999999</v>
      </c>
      <c r="D85" s="11">
        <v>-0.43116900000000002</v>
      </c>
      <c r="E85" s="11">
        <v>-0.20924000000000001</v>
      </c>
      <c r="F85" s="11">
        <v>5.7729000000000003E-2</v>
      </c>
    </row>
    <row r="86" spans="1:6" x14ac:dyDescent="0.15">
      <c r="A86" s="5" t="s">
        <v>202</v>
      </c>
      <c r="B86" s="11">
        <v>0.52675499999999997</v>
      </c>
      <c r="C86" s="11">
        <v>0.37964700000000001</v>
      </c>
      <c r="D86" s="11">
        <v>-0.40239599999999998</v>
      </c>
      <c r="E86" s="11">
        <v>-0.13993</v>
      </c>
      <c r="F86" s="11">
        <v>7.3950000000000002E-2</v>
      </c>
    </row>
    <row r="87" spans="1:6" x14ac:dyDescent="0.15">
      <c r="A87" s="5" t="s">
        <v>201</v>
      </c>
      <c r="B87" s="11">
        <v>1.3513000000000001E-2</v>
      </c>
      <c r="C87" s="11">
        <v>0</v>
      </c>
      <c r="D87" s="11">
        <v>1.3332999999999999E-2</v>
      </c>
      <c r="E87" s="11">
        <v>5.2630999999999997E-2</v>
      </c>
      <c r="F87" s="11">
        <v>0.1125</v>
      </c>
    </row>
    <row r="88" spans="1:6" x14ac:dyDescent="0.15">
      <c r="A88" s="5"/>
      <c r="B88" s="5"/>
      <c r="C88" s="5"/>
      <c r="D88" s="5"/>
      <c r="E88" s="5"/>
      <c r="F88" s="5"/>
    </row>
    <row r="89" spans="1:6" x14ac:dyDescent="0.15">
      <c r="A89" s="7" t="s">
        <v>219</v>
      </c>
      <c r="B89" s="5"/>
      <c r="C89" s="5"/>
      <c r="D89" s="5"/>
      <c r="E89" s="5"/>
      <c r="F89" s="5"/>
    </row>
    <row r="90" spans="1:6" x14ac:dyDescent="0.15">
      <c r="A90" s="5" t="s">
        <v>85</v>
      </c>
      <c r="B90" s="11">
        <v>4.9133999999999997E-2</v>
      </c>
      <c r="C90" s="11">
        <v>3.0276999999999998E-2</v>
      </c>
      <c r="D90" s="11">
        <v>2.8198999999999998E-2</v>
      </c>
      <c r="E90" s="11">
        <v>4.7490999999999998E-2</v>
      </c>
      <c r="F90" s="11">
        <v>6.2715999999999994E-2</v>
      </c>
    </row>
    <row r="91" spans="1:6" x14ac:dyDescent="0.15">
      <c r="A91" s="5" t="s">
        <v>83</v>
      </c>
      <c r="B91" s="11">
        <v>5.5002000000000002E-2</v>
      </c>
      <c r="C91" s="11">
        <v>5.5821000000000003E-2</v>
      </c>
      <c r="D91" s="11">
        <v>4.8468999999999998E-2</v>
      </c>
      <c r="E91" s="11">
        <v>2.1669999999999998E-2</v>
      </c>
      <c r="F91" s="11">
        <v>3.2388E-2</v>
      </c>
    </row>
    <row r="92" spans="1:6" x14ac:dyDescent="0.15">
      <c r="A92" s="5" t="s">
        <v>216</v>
      </c>
      <c r="B92" s="11">
        <v>4.4790000000000003E-2</v>
      </c>
      <c r="C92" s="11">
        <v>4.7171999999999999E-2</v>
      </c>
      <c r="D92" s="11">
        <v>5.4830999999999998E-2</v>
      </c>
      <c r="E92" s="11">
        <v>1.6431000000000001E-2</v>
      </c>
      <c r="F92" s="11">
        <v>3.3083000000000001E-2</v>
      </c>
    </row>
    <row r="93" spans="1:6" x14ac:dyDescent="0.15">
      <c r="A93" s="5" t="s">
        <v>215</v>
      </c>
      <c r="B93" s="11">
        <v>4.5136999999999997E-2</v>
      </c>
      <c r="C93" s="11">
        <v>5.8302E-2</v>
      </c>
      <c r="D93" s="11">
        <v>5.7875000000000003E-2</v>
      </c>
      <c r="E93" s="11">
        <v>2.9580000000000001E-3</v>
      </c>
      <c r="F93" s="11">
        <v>2.2252999999999998E-2</v>
      </c>
    </row>
    <row r="94" spans="1:6" x14ac:dyDescent="0.15">
      <c r="A94" s="5" t="s">
        <v>214</v>
      </c>
      <c r="B94" s="11">
        <v>4.5280000000000001E-2</v>
      </c>
      <c r="C94" s="11">
        <v>5.8557999999999999E-2</v>
      </c>
      <c r="D94" s="11">
        <v>5.8097000000000003E-2</v>
      </c>
      <c r="E94" s="11">
        <v>3.859E-3</v>
      </c>
      <c r="F94" s="11">
        <v>2.3108E-2</v>
      </c>
    </row>
    <row r="95" spans="1:6" ht="12" x14ac:dyDescent="0.15">
      <c r="A95" s="5" t="s">
        <v>58</v>
      </c>
      <c r="B95" s="11">
        <v>-0.90386500000000003</v>
      </c>
      <c r="C95" s="11">
        <v>-0.233594</v>
      </c>
      <c r="D95" s="11">
        <v>-0.783833</v>
      </c>
      <c r="E95" s="11" t="s">
        <v>30</v>
      </c>
      <c r="F95" s="11">
        <v>41.014282999999999</v>
      </c>
    </row>
    <row r="96" spans="1:6" ht="12" x14ac:dyDescent="0.15">
      <c r="A96" s="5" t="s">
        <v>53</v>
      </c>
      <c r="B96" s="11" t="s">
        <v>30</v>
      </c>
      <c r="C96" s="11">
        <v>-0.23743400000000001</v>
      </c>
      <c r="D96" s="11" t="s">
        <v>30</v>
      </c>
      <c r="E96" s="11" t="s">
        <v>30</v>
      </c>
      <c r="F96" s="11" t="s">
        <v>30</v>
      </c>
    </row>
    <row r="97" spans="1:6" ht="12" x14ac:dyDescent="0.15">
      <c r="A97" s="5" t="s">
        <v>213</v>
      </c>
      <c r="B97" s="11" t="s">
        <v>30</v>
      </c>
      <c r="C97" s="11">
        <v>-0.213259</v>
      </c>
      <c r="D97" s="11" t="s">
        <v>30</v>
      </c>
      <c r="E97" s="11">
        <v>-0.60136400000000001</v>
      </c>
      <c r="F97" s="11">
        <v>0.50975099999999995</v>
      </c>
    </row>
    <row r="98" spans="1:6" ht="12" x14ac:dyDescent="0.15">
      <c r="A98" s="5" t="s">
        <v>212</v>
      </c>
      <c r="B98" s="11" t="s">
        <v>30</v>
      </c>
      <c r="C98" s="11">
        <v>-0.236952</v>
      </c>
      <c r="D98" s="11" t="s">
        <v>30</v>
      </c>
      <c r="E98" s="11" t="s">
        <v>30</v>
      </c>
      <c r="F98" s="11" t="s">
        <v>30</v>
      </c>
    </row>
    <row r="99" spans="1:6" x14ac:dyDescent="0.15">
      <c r="A99" s="5"/>
      <c r="B99" s="5"/>
      <c r="C99" s="5"/>
      <c r="D99" s="5"/>
      <c r="E99" s="5"/>
      <c r="F99" s="5"/>
    </row>
    <row r="100" spans="1:6" x14ac:dyDescent="0.15">
      <c r="A100" s="5" t="s">
        <v>211</v>
      </c>
      <c r="B100" s="11">
        <v>5.5530999999999997E-2</v>
      </c>
      <c r="C100" s="11">
        <v>-3.7054999999999998E-2</v>
      </c>
      <c r="D100" s="11">
        <v>1.9581000000000001E-2</v>
      </c>
      <c r="E100" s="11">
        <v>7.1492E-2</v>
      </c>
      <c r="F100" s="11">
        <v>-3.7523000000000001E-2</v>
      </c>
    </row>
    <row r="101" spans="1:6" x14ac:dyDescent="0.15">
      <c r="A101" s="5" t="s">
        <v>210</v>
      </c>
      <c r="B101" s="11">
        <v>-0.18814</v>
      </c>
      <c r="C101" s="11">
        <v>-0.22151699999999999</v>
      </c>
      <c r="D101" s="11">
        <v>7.0192000000000004E-2</v>
      </c>
      <c r="E101" s="11">
        <v>0.21268500000000001</v>
      </c>
      <c r="F101" s="11">
        <v>0.14937600000000001</v>
      </c>
    </row>
    <row r="102" spans="1:6" x14ac:dyDescent="0.15">
      <c r="A102" s="5" t="s">
        <v>209</v>
      </c>
      <c r="B102" s="11">
        <v>0.101789</v>
      </c>
      <c r="C102" s="11">
        <v>9.3601000000000004E-2</v>
      </c>
      <c r="D102" s="11">
        <v>6.0441000000000002E-2</v>
      </c>
      <c r="E102" s="11">
        <v>7.7052999999999996E-2</v>
      </c>
      <c r="F102" s="11">
        <v>0.15154999999999999</v>
      </c>
    </row>
    <row r="103" spans="1:6" x14ac:dyDescent="0.15">
      <c r="A103" s="5" t="s">
        <v>208</v>
      </c>
      <c r="B103" s="11">
        <v>0.15339800000000001</v>
      </c>
      <c r="C103" s="11">
        <v>-3.7064E-2</v>
      </c>
      <c r="D103" s="11">
        <v>-2.7224000000000002E-2</v>
      </c>
      <c r="E103" s="11">
        <v>-4.6121000000000002E-2</v>
      </c>
      <c r="F103" s="11">
        <v>-3.179E-3</v>
      </c>
    </row>
    <row r="104" spans="1:6" x14ac:dyDescent="0.15">
      <c r="A104" s="5"/>
      <c r="B104" s="5"/>
      <c r="C104" s="5"/>
      <c r="D104" s="5"/>
      <c r="E104" s="5"/>
      <c r="F104" s="5"/>
    </row>
    <row r="105" spans="1:6" ht="12" x14ac:dyDescent="0.15">
      <c r="A105" s="5" t="s">
        <v>207</v>
      </c>
      <c r="B105" s="11" t="s">
        <v>30</v>
      </c>
      <c r="C105" s="11">
        <v>0.55923500000000004</v>
      </c>
      <c r="D105" s="11">
        <v>-0.17965400000000001</v>
      </c>
      <c r="E105" s="11" t="s">
        <v>30</v>
      </c>
      <c r="F105" s="11" t="s">
        <v>30</v>
      </c>
    </row>
    <row r="106" spans="1:6" x14ac:dyDescent="0.15">
      <c r="A106" s="5" t="s">
        <v>206</v>
      </c>
      <c r="B106" s="11">
        <v>0.233373</v>
      </c>
      <c r="C106" s="11">
        <v>4.0909000000000001E-2</v>
      </c>
      <c r="D106" s="11">
        <v>-1.6619999999999999E-2</v>
      </c>
      <c r="E106" s="11">
        <v>-0.21342700000000001</v>
      </c>
      <c r="F106" s="11">
        <v>-8.8693999999999995E-2</v>
      </c>
    </row>
    <row r="107" spans="1:6" x14ac:dyDescent="0.15">
      <c r="A107" s="5" t="s">
        <v>205</v>
      </c>
      <c r="B107" s="11">
        <v>0.149285</v>
      </c>
      <c r="C107" s="11">
        <v>0.11776</v>
      </c>
      <c r="D107" s="11">
        <v>2.9798000000000002E-2</v>
      </c>
      <c r="E107" s="11">
        <v>-8.8760000000000002E-3</v>
      </c>
      <c r="F107" s="11">
        <v>1.3693E-2</v>
      </c>
    </row>
    <row r="108" spans="1:6" x14ac:dyDescent="0.15">
      <c r="A108" s="5" t="s">
        <v>204</v>
      </c>
      <c r="B108" s="11">
        <v>-0.171186</v>
      </c>
      <c r="C108" s="11">
        <v>-1.2318000000000001E-2</v>
      </c>
      <c r="D108" s="11">
        <v>0.18884400000000001</v>
      </c>
      <c r="E108" s="11">
        <v>9.4325000000000006E-2</v>
      </c>
      <c r="F108" s="11">
        <v>0.111744</v>
      </c>
    </row>
    <row r="109" spans="1:6" x14ac:dyDescent="0.15">
      <c r="A109" s="5" t="s">
        <v>203</v>
      </c>
      <c r="B109" s="11">
        <v>0.55030999999999997</v>
      </c>
      <c r="C109" s="11">
        <v>0.53878199999999998</v>
      </c>
      <c r="D109" s="11">
        <v>-8.1119999999999998E-2</v>
      </c>
      <c r="E109" s="11">
        <v>-0.329322</v>
      </c>
      <c r="F109" s="11">
        <v>-8.5444999999999993E-2</v>
      </c>
    </row>
    <row r="110" spans="1:6" x14ac:dyDescent="0.15">
      <c r="A110" s="5" t="s">
        <v>202</v>
      </c>
      <c r="B110" s="11">
        <v>0.55779199999999995</v>
      </c>
      <c r="C110" s="11">
        <v>0.45133899999999999</v>
      </c>
      <c r="D110" s="11">
        <v>-9.1990000000000002E-2</v>
      </c>
      <c r="E110" s="11">
        <v>-0.28307500000000002</v>
      </c>
      <c r="F110" s="11">
        <v>-3.8920999999999997E-2</v>
      </c>
    </row>
    <row r="111" spans="1:6" x14ac:dyDescent="0.15">
      <c r="A111" s="5" t="s">
        <v>201</v>
      </c>
      <c r="B111" s="11">
        <v>0.200961</v>
      </c>
      <c r="C111" s="11">
        <v>6.7340000000000004E-3</v>
      </c>
      <c r="D111" s="11">
        <v>6.6439999999999997E-3</v>
      </c>
      <c r="E111" s="11">
        <v>3.2794999999999998E-2</v>
      </c>
      <c r="F111" s="11">
        <v>8.2152000000000003E-2</v>
      </c>
    </row>
    <row r="112" spans="1:6" x14ac:dyDescent="0.15">
      <c r="A112" s="5"/>
      <c r="B112" s="5"/>
      <c r="C112" s="5"/>
      <c r="D112" s="5"/>
      <c r="E112" s="5"/>
      <c r="F112" s="5"/>
    </row>
    <row r="113" spans="1:6" x14ac:dyDescent="0.15">
      <c r="A113" s="7" t="s">
        <v>218</v>
      </c>
      <c r="B113" s="5"/>
      <c r="C113" s="5"/>
      <c r="D113" s="5"/>
      <c r="E113" s="5"/>
      <c r="F113" s="5"/>
    </row>
    <row r="114" spans="1:6" x14ac:dyDescent="0.15">
      <c r="A114" s="5" t="s">
        <v>85</v>
      </c>
      <c r="B114" s="11">
        <v>4.4537E-2</v>
      </c>
      <c r="C114" s="11">
        <v>4.3568999999999997E-2</v>
      </c>
      <c r="D114" s="11">
        <v>2.8143000000000001E-2</v>
      </c>
      <c r="E114" s="11">
        <v>4.2479999999999997E-2</v>
      </c>
      <c r="F114" s="11">
        <v>4.9612999999999997E-2</v>
      </c>
    </row>
    <row r="115" spans="1:6" x14ac:dyDescent="0.15">
      <c r="A115" s="5" t="s">
        <v>83</v>
      </c>
      <c r="B115" s="11">
        <v>6.5866999999999995E-2</v>
      </c>
      <c r="C115" s="11">
        <v>5.9115000000000001E-2</v>
      </c>
      <c r="D115" s="11">
        <v>4.7104E-2</v>
      </c>
      <c r="E115" s="11">
        <v>3.6687999999999998E-2</v>
      </c>
      <c r="F115" s="11">
        <v>3.1552999999999998E-2</v>
      </c>
    </row>
    <row r="116" spans="1:6" x14ac:dyDescent="0.15">
      <c r="A116" s="5" t="s">
        <v>216</v>
      </c>
      <c r="B116" s="11">
        <v>6.7655999999999994E-2</v>
      </c>
      <c r="C116" s="11">
        <v>5.1965999999999998E-2</v>
      </c>
      <c r="D116" s="11">
        <v>4.5887999999999998E-2</v>
      </c>
      <c r="E116" s="11">
        <v>3.2842999999999997E-2</v>
      </c>
      <c r="F116" s="11">
        <v>3.6485999999999998E-2</v>
      </c>
    </row>
    <row r="117" spans="1:6" x14ac:dyDescent="0.15">
      <c r="A117" s="5" t="s">
        <v>215</v>
      </c>
      <c r="B117" s="11">
        <v>6.3785999999999995E-2</v>
      </c>
      <c r="C117" s="11">
        <v>5.7765999999999998E-2</v>
      </c>
      <c r="D117" s="11">
        <v>4.9757000000000003E-2</v>
      </c>
      <c r="E117" s="11">
        <v>2.9111999999999999E-2</v>
      </c>
      <c r="F117" s="11">
        <v>2.5780000000000001E-2</v>
      </c>
    </row>
    <row r="118" spans="1:6" x14ac:dyDescent="0.15">
      <c r="A118" s="5" t="s">
        <v>214</v>
      </c>
      <c r="B118" s="11">
        <v>6.4675999999999997E-2</v>
      </c>
      <c r="C118" s="11">
        <v>5.7966999999999998E-2</v>
      </c>
      <c r="D118" s="11">
        <v>4.9967999999999999E-2</v>
      </c>
      <c r="E118" s="11">
        <v>2.9829999999999999E-2</v>
      </c>
      <c r="F118" s="11">
        <v>2.6394999999999998E-2</v>
      </c>
    </row>
    <row r="119" spans="1:6" ht="12" x14ac:dyDescent="0.15">
      <c r="A119" s="5" t="s">
        <v>58</v>
      </c>
      <c r="B119" s="11">
        <v>-0.75920399999999999</v>
      </c>
      <c r="C119" s="11">
        <v>-4.2604999999999997E-2</v>
      </c>
      <c r="D119" s="11">
        <v>-0.93388499999999997</v>
      </c>
      <c r="E119" s="11" t="s">
        <v>30</v>
      </c>
      <c r="F119" s="11">
        <v>-4.5803999999999997E-2</v>
      </c>
    </row>
    <row r="120" spans="1:6" ht="12" x14ac:dyDescent="0.15">
      <c r="A120" s="5" t="s">
        <v>53</v>
      </c>
      <c r="B120" s="11" t="s">
        <v>30</v>
      </c>
      <c r="C120" s="11">
        <v>-4.6307000000000001E-2</v>
      </c>
      <c r="D120" s="11" t="s">
        <v>30</v>
      </c>
      <c r="E120" s="11" t="s">
        <v>30</v>
      </c>
      <c r="F120" s="11">
        <v>-4.7351999999999998E-2</v>
      </c>
    </row>
    <row r="121" spans="1:6" ht="12" x14ac:dyDescent="0.15">
      <c r="A121" s="5" t="s">
        <v>213</v>
      </c>
      <c r="B121" s="11" t="s">
        <v>30</v>
      </c>
      <c r="C121" s="11">
        <v>2.1359999999999999E-3</v>
      </c>
      <c r="D121" s="11">
        <v>-0.39356600000000003</v>
      </c>
      <c r="E121" s="11" t="s">
        <v>30</v>
      </c>
      <c r="F121" s="11">
        <v>-6.3519000000000006E-2</v>
      </c>
    </row>
    <row r="122" spans="1:6" ht="12" x14ac:dyDescent="0.15">
      <c r="A122" s="5" t="s">
        <v>212</v>
      </c>
      <c r="B122" s="11" t="s">
        <v>30</v>
      </c>
      <c r="C122" s="11">
        <v>-3.7419000000000001E-2</v>
      </c>
      <c r="D122" s="11" t="s">
        <v>30</v>
      </c>
      <c r="E122" s="11" t="s">
        <v>30</v>
      </c>
      <c r="F122" s="11">
        <v>-2.8156E-2</v>
      </c>
    </row>
    <row r="123" spans="1:6" x14ac:dyDescent="0.15">
      <c r="A123" s="5"/>
      <c r="B123" s="5"/>
      <c r="C123" s="5"/>
      <c r="D123" s="5"/>
      <c r="E123" s="5"/>
      <c r="F123" s="5"/>
    </row>
    <row r="124" spans="1:6" x14ac:dyDescent="0.15">
      <c r="A124" s="5" t="s">
        <v>211</v>
      </c>
      <c r="B124" s="11">
        <v>5.4748999999999999E-2</v>
      </c>
      <c r="C124" s="11">
        <v>3.8920000000000001E-3</v>
      </c>
      <c r="D124" s="11">
        <v>2.0098999999999999E-2</v>
      </c>
      <c r="E124" s="11">
        <v>1.3988E-2</v>
      </c>
      <c r="F124" s="11">
        <v>1.9768999999999998E-2</v>
      </c>
    </row>
    <row r="125" spans="1:6" x14ac:dyDescent="0.15">
      <c r="A125" s="5" t="s">
        <v>210</v>
      </c>
      <c r="B125" s="11">
        <v>-0.11101</v>
      </c>
      <c r="C125" s="11">
        <v>-0.14751400000000001</v>
      </c>
      <c r="D125" s="11">
        <v>-9.6127000000000004E-2</v>
      </c>
      <c r="E125" s="11">
        <v>0.11394899999999999</v>
      </c>
      <c r="F125" s="11">
        <v>0.17196900000000001</v>
      </c>
    </row>
    <row r="126" spans="1:6" x14ac:dyDescent="0.15">
      <c r="A126" s="5" t="s">
        <v>209</v>
      </c>
      <c r="B126" s="11">
        <v>0.13920299999999999</v>
      </c>
      <c r="C126" s="11">
        <v>9.5634999999999998E-2</v>
      </c>
      <c r="D126" s="11">
        <v>7.4722999999999998E-2</v>
      </c>
      <c r="E126" s="11">
        <v>7.9174999999999995E-2</v>
      </c>
      <c r="F126" s="11">
        <v>0.112362</v>
      </c>
    </row>
    <row r="127" spans="1:6" x14ac:dyDescent="0.15">
      <c r="A127" s="5" t="s">
        <v>208</v>
      </c>
      <c r="B127" s="11">
        <v>0.13672200000000001</v>
      </c>
      <c r="C127" s="11">
        <v>9.6877000000000005E-2</v>
      </c>
      <c r="D127" s="11">
        <v>-4.0078999999999997E-2</v>
      </c>
      <c r="E127" s="11">
        <v>-3.3577000000000003E-2</v>
      </c>
      <c r="F127" s="11">
        <v>-1.7689E-2</v>
      </c>
    </row>
    <row r="128" spans="1:6" x14ac:dyDescent="0.15">
      <c r="A128" s="5"/>
      <c r="B128" s="5"/>
      <c r="C128" s="5"/>
      <c r="D128" s="5"/>
      <c r="E128" s="5"/>
      <c r="F128" s="5"/>
    </row>
    <row r="129" spans="1:6" ht="12" x14ac:dyDescent="0.15">
      <c r="A129" s="5" t="s">
        <v>207</v>
      </c>
      <c r="B129" s="11" t="s">
        <v>30</v>
      </c>
      <c r="C129" s="11" t="s">
        <v>30</v>
      </c>
      <c r="D129" s="11">
        <v>-4.1173000000000001E-2</v>
      </c>
      <c r="E129" s="11" t="s">
        <v>30</v>
      </c>
      <c r="F129" s="11" t="s">
        <v>30</v>
      </c>
    </row>
    <row r="130" spans="1:6" x14ac:dyDescent="0.15">
      <c r="A130" s="5" t="s">
        <v>206</v>
      </c>
      <c r="B130" s="11">
        <v>0.20747099999999999</v>
      </c>
      <c r="C130" s="11">
        <v>0.194692</v>
      </c>
      <c r="D130" s="11">
        <v>-2.2245000000000001E-2</v>
      </c>
      <c r="E130" s="11">
        <v>-0.114846</v>
      </c>
      <c r="F130" s="11">
        <v>-0.10519000000000001</v>
      </c>
    </row>
    <row r="131" spans="1:6" x14ac:dyDescent="0.15">
      <c r="A131" s="5" t="s">
        <v>205</v>
      </c>
      <c r="B131" s="11">
        <v>0.14577799999999999</v>
      </c>
      <c r="C131" s="11">
        <v>0.132655</v>
      </c>
      <c r="D131" s="11">
        <v>6.3950000000000007E-2</v>
      </c>
      <c r="E131" s="11">
        <v>2.6197999999999999E-2</v>
      </c>
      <c r="F131" s="11">
        <v>-3.1580000000000002E-3</v>
      </c>
    </row>
    <row r="132" spans="1:6" x14ac:dyDescent="0.15">
      <c r="A132" s="5" t="s">
        <v>204</v>
      </c>
      <c r="B132" s="11">
        <v>-7.1434999999999998E-2</v>
      </c>
      <c r="C132" s="11">
        <v>-6.4958000000000002E-2</v>
      </c>
      <c r="D132" s="11">
        <v>5.0271999999999997E-2</v>
      </c>
      <c r="E132" s="11">
        <v>0.125358</v>
      </c>
      <c r="F132" s="11">
        <v>0.13647599999999999</v>
      </c>
    </row>
    <row r="133" spans="1:6" x14ac:dyDescent="0.15">
      <c r="A133" s="5" t="s">
        <v>203</v>
      </c>
      <c r="B133" s="11">
        <v>0.25497599999999998</v>
      </c>
      <c r="C133" s="11">
        <v>0.52800100000000005</v>
      </c>
      <c r="D133" s="11">
        <v>0.104364</v>
      </c>
      <c r="E133" s="11">
        <v>-0.12598100000000001</v>
      </c>
      <c r="F133" s="11">
        <v>-0.21933</v>
      </c>
    </row>
    <row r="134" spans="1:6" x14ac:dyDescent="0.15">
      <c r="A134" s="5" t="s">
        <v>202</v>
      </c>
      <c r="B134" s="11">
        <v>0.21948999999999999</v>
      </c>
      <c r="C134" s="11">
        <v>0.49599100000000002</v>
      </c>
      <c r="D134" s="11">
        <v>7.9735E-2</v>
      </c>
      <c r="E134" s="11">
        <v>-0.10825899999999999</v>
      </c>
      <c r="F134" s="11">
        <v>-0.17969099999999999</v>
      </c>
    </row>
    <row r="135" spans="1:6" x14ac:dyDescent="0.15">
      <c r="A135" s="5" t="s">
        <v>201</v>
      </c>
      <c r="B135" s="11">
        <v>0.23310600000000001</v>
      </c>
      <c r="C135" s="11">
        <v>0.12984599999999999</v>
      </c>
      <c r="D135" s="11">
        <v>8.9289999999999994E-3</v>
      </c>
      <c r="E135" s="11">
        <v>2.1746000000000001E-2</v>
      </c>
      <c r="F135" s="11">
        <v>5.8708000000000003E-2</v>
      </c>
    </row>
    <row r="136" spans="1:6" x14ac:dyDescent="0.15">
      <c r="A136" s="5"/>
      <c r="B136" s="5"/>
      <c r="C136" s="5"/>
      <c r="D136" s="5"/>
      <c r="E136" s="5"/>
      <c r="F136" s="5"/>
    </row>
    <row r="137" spans="1:6" x14ac:dyDescent="0.15">
      <c r="A137" s="7" t="s">
        <v>217</v>
      </c>
      <c r="B137" s="5"/>
      <c r="C137" s="5"/>
      <c r="D137" s="5"/>
      <c r="E137" s="5"/>
      <c r="F137" s="5"/>
    </row>
    <row r="138" spans="1:6" x14ac:dyDescent="0.15">
      <c r="A138" s="5" t="s">
        <v>85</v>
      </c>
      <c r="B138" s="11">
        <v>6.7172999999999997E-2</v>
      </c>
      <c r="C138" s="11">
        <v>5.6387E-2</v>
      </c>
      <c r="D138" s="11">
        <v>3.7970999999999998E-2</v>
      </c>
      <c r="E138" s="11">
        <v>4.5136000000000003E-2</v>
      </c>
      <c r="F138" s="11">
        <v>4.1834999999999997E-2</v>
      </c>
    </row>
    <row r="139" spans="1:6" x14ac:dyDescent="0.15">
      <c r="A139" s="5" t="s">
        <v>83</v>
      </c>
      <c r="B139" s="11">
        <v>0.10693800000000001</v>
      </c>
      <c r="C139" s="11">
        <v>9.0902999999999998E-2</v>
      </c>
      <c r="D139" s="11">
        <v>5.8873000000000002E-2</v>
      </c>
      <c r="E139" s="11">
        <v>4.3975E-2</v>
      </c>
      <c r="F139" s="11">
        <v>4.1191999999999999E-2</v>
      </c>
    </row>
    <row r="140" spans="1:6" x14ac:dyDescent="0.15">
      <c r="A140" s="5" t="s">
        <v>216</v>
      </c>
      <c r="B140" s="11">
        <v>0.11906</v>
      </c>
      <c r="C140" s="11">
        <v>9.5591999999999996E-2</v>
      </c>
      <c r="D140" s="11">
        <v>6.2506999999999993E-2</v>
      </c>
      <c r="E140" s="11">
        <v>3.7605E-2</v>
      </c>
      <c r="F140" s="11">
        <v>4.0746999999999998E-2</v>
      </c>
    </row>
    <row r="141" spans="1:6" x14ac:dyDescent="0.15">
      <c r="A141" s="5" t="s">
        <v>215</v>
      </c>
      <c r="B141" s="11">
        <v>0.116241</v>
      </c>
      <c r="C141" s="11">
        <v>9.4918000000000002E-2</v>
      </c>
      <c r="D141" s="11">
        <v>6.1418E-2</v>
      </c>
      <c r="E141" s="11">
        <v>3.5492000000000003E-2</v>
      </c>
      <c r="F141" s="11">
        <v>3.8668000000000001E-2</v>
      </c>
    </row>
    <row r="142" spans="1:6" x14ac:dyDescent="0.15">
      <c r="A142" s="5" t="s">
        <v>214</v>
      </c>
      <c r="B142" s="11">
        <v>0.12153600000000001</v>
      </c>
      <c r="C142" s="11">
        <v>9.9334000000000006E-2</v>
      </c>
      <c r="D142" s="11">
        <v>6.2039999999999998E-2</v>
      </c>
      <c r="E142" s="11">
        <v>3.5982E-2</v>
      </c>
      <c r="F142" s="11">
        <v>3.9141000000000002E-2</v>
      </c>
    </row>
    <row r="143" spans="1:6" ht="12" x14ac:dyDescent="0.15">
      <c r="A143" s="5" t="s">
        <v>58</v>
      </c>
      <c r="B143" s="11">
        <v>-0.51958400000000005</v>
      </c>
      <c r="C143" s="11">
        <v>0.138848</v>
      </c>
      <c r="D143" s="11">
        <v>-0.76940500000000001</v>
      </c>
      <c r="E143" s="11" t="s">
        <v>30</v>
      </c>
      <c r="F143" s="11">
        <v>-0.12589</v>
      </c>
    </row>
    <row r="144" spans="1:6" ht="12" x14ac:dyDescent="0.15">
      <c r="A144" s="5" t="s">
        <v>53</v>
      </c>
      <c r="B144" s="11" t="s">
        <v>30</v>
      </c>
      <c r="C144" s="11">
        <v>0.13625799999999999</v>
      </c>
      <c r="D144" s="11" t="s">
        <v>30</v>
      </c>
      <c r="E144" s="11" t="s">
        <v>30</v>
      </c>
      <c r="F144" s="11">
        <v>-0.128494</v>
      </c>
    </row>
    <row r="145" spans="1:6" ht="12" x14ac:dyDescent="0.15">
      <c r="A145" s="5" t="s">
        <v>213</v>
      </c>
      <c r="B145" s="11" t="s">
        <v>30</v>
      </c>
      <c r="C145" s="11">
        <v>0.113481</v>
      </c>
      <c r="D145" s="11">
        <v>-0.13053600000000001</v>
      </c>
      <c r="E145" s="11">
        <v>-0.30691400000000002</v>
      </c>
      <c r="F145" s="11">
        <v>-0.12656200000000001</v>
      </c>
    </row>
    <row r="146" spans="1:6" ht="12" x14ac:dyDescent="0.15">
      <c r="A146" s="5" t="s">
        <v>212</v>
      </c>
      <c r="B146" s="11" t="s">
        <v>30</v>
      </c>
      <c r="C146" s="11">
        <v>0.14580099999999999</v>
      </c>
      <c r="D146" s="11" t="s">
        <v>30</v>
      </c>
      <c r="E146" s="11" t="s">
        <v>30</v>
      </c>
      <c r="F146" s="11">
        <v>-0.11777600000000001</v>
      </c>
    </row>
    <row r="147" spans="1:6" x14ac:dyDescent="0.15">
      <c r="A147" s="5"/>
      <c r="B147" s="5"/>
      <c r="C147" s="5"/>
      <c r="D147" s="5"/>
      <c r="E147" s="5"/>
      <c r="F147" s="5"/>
    </row>
    <row r="148" spans="1:6" x14ac:dyDescent="0.15">
      <c r="A148" s="5" t="s">
        <v>211</v>
      </c>
      <c r="B148" s="11">
        <v>7.6247999999999996E-2</v>
      </c>
      <c r="C148" s="11">
        <v>1.4017999999999999E-2</v>
      </c>
      <c r="D148" s="11">
        <v>4.0538999999999999E-2</v>
      </c>
      <c r="E148" s="11">
        <v>3.0405000000000001E-2</v>
      </c>
      <c r="F148" s="11">
        <v>-3.3519999999999999E-3</v>
      </c>
    </row>
    <row r="149" spans="1:6" x14ac:dyDescent="0.15">
      <c r="A149" s="5" t="s">
        <v>210</v>
      </c>
      <c r="B149" s="11">
        <v>-5.5472E-2</v>
      </c>
      <c r="C149" s="11">
        <v>-6.9572999999999996E-2</v>
      </c>
      <c r="D149" s="11">
        <v>-4.2535000000000003E-2</v>
      </c>
      <c r="E149" s="11">
        <v>-1.8452E-2</v>
      </c>
      <c r="F149" s="11">
        <v>-4.9399999999999999E-3</v>
      </c>
    </row>
    <row r="150" spans="1:6" x14ac:dyDescent="0.15">
      <c r="A150" s="5" t="s">
        <v>209</v>
      </c>
      <c r="B150" s="11">
        <v>0.167407</v>
      </c>
      <c r="C150" s="11">
        <v>0.13575300000000001</v>
      </c>
      <c r="D150" s="11">
        <v>0.107019</v>
      </c>
      <c r="E150" s="11">
        <v>8.8164000000000006E-2</v>
      </c>
      <c r="F150" s="11">
        <v>0.104819</v>
      </c>
    </row>
    <row r="151" spans="1:6" x14ac:dyDescent="0.15">
      <c r="A151" s="5" t="s">
        <v>208</v>
      </c>
      <c r="B151" s="11">
        <v>0.12603300000000001</v>
      </c>
      <c r="C151" s="11">
        <v>9.8242999999999997E-2</v>
      </c>
      <c r="D151" s="11">
        <v>6.8065000000000001E-2</v>
      </c>
      <c r="E151" s="11">
        <v>3.7270999999999999E-2</v>
      </c>
      <c r="F151" s="11">
        <v>-2.5486000000000002E-2</v>
      </c>
    </row>
    <row r="152" spans="1:6" x14ac:dyDescent="0.15">
      <c r="A152" s="5"/>
      <c r="B152" s="5"/>
      <c r="C152" s="5"/>
      <c r="D152" s="5"/>
      <c r="E152" s="5"/>
      <c r="F152" s="5"/>
    </row>
    <row r="153" spans="1:6" ht="12" x14ac:dyDescent="0.15">
      <c r="A153" s="5" t="s">
        <v>207</v>
      </c>
      <c r="B153" s="11" t="s">
        <v>30</v>
      </c>
      <c r="C153" s="11" t="s">
        <v>30</v>
      </c>
      <c r="D153" s="11" t="s">
        <v>30</v>
      </c>
      <c r="E153" s="11" t="s">
        <v>30</v>
      </c>
      <c r="F153" s="11" t="s">
        <v>30</v>
      </c>
    </row>
    <row r="154" spans="1:6" x14ac:dyDescent="0.15">
      <c r="A154" s="5" t="s">
        <v>206</v>
      </c>
      <c r="B154" s="11">
        <v>0.160217</v>
      </c>
      <c r="C154" s="11">
        <v>0.15697800000000001</v>
      </c>
      <c r="D154" s="11">
        <v>0.11228100000000001</v>
      </c>
      <c r="E154" s="11">
        <v>1.0762000000000001E-2</v>
      </c>
      <c r="F154" s="11">
        <v>-4.9387E-2</v>
      </c>
    </row>
    <row r="155" spans="1:6" x14ac:dyDescent="0.15">
      <c r="A155" s="5" t="s">
        <v>205</v>
      </c>
      <c r="B155" s="11">
        <v>0.18735399999999999</v>
      </c>
      <c r="C155" s="11">
        <v>0.14699499999999999</v>
      </c>
      <c r="D155" s="11">
        <v>9.7895999999999997E-2</v>
      </c>
      <c r="E155" s="11">
        <v>7.3765999999999998E-2</v>
      </c>
      <c r="F155" s="11">
        <v>4.3555000000000003E-2</v>
      </c>
    </row>
    <row r="156" spans="1:6" x14ac:dyDescent="0.15">
      <c r="A156" s="5" t="s">
        <v>204</v>
      </c>
      <c r="B156" s="11">
        <v>1.9659999999999999E-3</v>
      </c>
      <c r="C156" s="11">
        <v>-6.0650000000000001E-3</v>
      </c>
      <c r="D156" s="11">
        <v>2.5031999999999999E-2</v>
      </c>
      <c r="E156" s="11">
        <v>-4.2339999999999999E-3</v>
      </c>
      <c r="F156" s="11">
        <v>7.4441999999999994E-2</v>
      </c>
    </row>
    <row r="157" spans="1:6" ht="12" x14ac:dyDescent="0.15">
      <c r="A157" s="5" t="s">
        <v>203</v>
      </c>
      <c r="B157" s="11" t="s">
        <v>30</v>
      </c>
      <c r="C157" s="11">
        <v>0.40612599999999999</v>
      </c>
      <c r="D157" s="11">
        <v>0.10786</v>
      </c>
      <c r="E157" s="11">
        <v>9.9208000000000005E-2</v>
      </c>
      <c r="F157" s="11">
        <v>2.4121E-2</v>
      </c>
    </row>
    <row r="158" spans="1:6" ht="12" x14ac:dyDescent="0.15">
      <c r="A158" s="5" t="s">
        <v>202</v>
      </c>
      <c r="B158" s="11" t="s">
        <v>30</v>
      </c>
      <c r="C158" s="11">
        <v>0.31156600000000001</v>
      </c>
      <c r="D158" s="11">
        <v>8.3785999999999999E-2</v>
      </c>
      <c r="E158" s="11">
        <v>0.114672</v>
      </c>
      <c r="F158" s="11">
        <v>3.0609000000000001E-2</v>
      </c>
    </row>
    <row r="159" spans="1:6" ht="12" x14ac:dyDescent="0.15">
      <c r="A159" s="5" t="s">
        <v>201</v>
      </c>
      <c r="B159" s="9" t="s">
        <v>9</v>
      </c>
      <c r="C159" s="11">
        <v>0.193273</v>
      </c>
      <c r="D159" s="11">
        <v>0.13697400000000001</v>
      </c>
      <c r="E159" s="11">
        <v>8.9977000000000001E-2</v>
      </c>
      <c r="F159" s="11">
        <v>3.7603999999999999E-2</v>
      </c>
    </row>
    <row r="160" spans="1:6" x14ac:dyDescent="0.15">
      <c r="A160" s="5"/>
      <c r="B160" s="5"/>
      <c r="C160" s="5"/>
      <c r="D160" s="5"/>
      <c r="E160" s="5"/>
      <c r="F160" s="5"/>
    </row>
    <row r="161" spans="1:6" ht="72" x14ac:dyDescent="0.15">
      <c r="A161" s="35" t="s">
        <v>0</v>
      </c>
      <c r="B161" s="3"/>
      <c r="C161" s="3"/>
      <c r="D161" s="3"/>
      <c r="E161" s="3"/>
      <c r="F161" s="3"/>
    </row>
  </sheetData>
  <pageMargins left="0.2" right="0.2" top="0.5" bottom="0.5" header="0.5" footer="0.5"/>
  <pageSetup fitToWidth="0" fitToHeight="0" orientation="landscape" horizontalDpi="0" verticalDpi="0"/>
  <headerFooter alignWithMargins="0"/>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BDA90-4876-924E-987E-09517413D42C}">
  <sheetPr codeName="Sheet9">
    <outlinePr summaryBelow="0" summaryRight="0"/>
    <pageSetUpPr autoPageBreaks="0"/>
  </sheetPr>
  <dimension ref="A5:IU161"/>
  <sheetViews>
    <sheetView topLeftCell="A35" zoomScale="136" workbookViewId="0">
      <selection activeCell="A55" sqref="A55"/>
    </sheetView>
  </sheetViews>
  <sheetFormatPr baseColWidth="10" defaultColWidth="10.83203125" defaultRowHeight="11" x14ac:dyDescent="0.15"/>
  <cols>
    <col min="1" max="1" width="45.83203125" style="1" customWidth="1"/>
    <col min="2" max="6" width="14.83203125" style="1" customWidth="1"/>
    <col min="7" max="256" width="8.83203125" style="1" customWidth="1"/>
    <col min="257" max="16384" width="10.83203125" style="1"/>
  </cols>
  <sheetData>
    <row r="5" spans="1:255" ht="17" x14ac:dyDescent="0.2">
      <c r="A5" s="23" t="s">
        <v>264</v>
      </c>
    </row>
    <row r="7" spans="1:255" x14ac:dyDescent="0.15">
      <c r="A7" s="5"/>
      <c r="B7" s="20" t="s">
        <v>114</v>
      </c>
      <c r="C7" s="1" t="s">
        <v>113</v>
      </c>
      <c r="D7" s="5" t="s">
        <v>98</v>
      </c>
      <c r="E7" s="20" t="s">
        <v>112</v>
      </c>
      <c r="F7" s="1" t="s">
        <v>111</v>
      </c>
    </row>
    <row r="8" spans="1:255" x14ac:dyDescent="0.15">
      <c r="A8" s="5"/>
      <c r="B8" s="20" t="s">
        <v>110</v>
      </c>
      <c r="C8" s="1" t="s">
        <v>109</v>
      </c>
      <c r="D8" s="5" t="s">
        <v>98</v>
      </c>
      <c r="E8" s="20" t="s">
        <v>102</v>
      </c>
      <c r="F8" s="21" t="s">
        <v>101</v>
      </c>
    </row>
    <row r="9" spans="1:255" x14ac:dyDescent="0.15">
      <c r="A9" s="5"/>
      <c r="B9" s="20" t="s">
        <v>100</v>
      </c>
      <c r="C9" s="1" t="s">
        <v>99</v>
      </c>
      <c r="D9" s="5" t="s">
        <v>98</v>
      </c>
      <c r="E9" s="19"/>
      <c r="F9" s="19"/>
    </row>
    <row r="12" spans="1:255" x14ac:dyDescent="0.15">
      <c r="A12" s="18" t="s">
        <v>261</v>
      </c>
      <c r="B12" s="18"/>
      <c r="C12" s="18"/>
      <c r="D12" s="18"/>
      <c r="E12" s="18"/>
      <c r="F12" s="18"/>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c r="IK12" s="17"/>
      <c r="IL12" s="17"/>
      <c r="IM12" s="17"/>
      <c r="IN12" s="17"/>
      <c r="IO12" s="17"/>
      <c r="IP12" s="17"/>
      <c r="IQ12" s="17"/>
      <c r="IR12" s="17"/>
      <c r="IS12" s="17"/>
      <c r="IT12" s="17"/>
      <c r="IU12" s="17"/>
    </row>
    <row r="13" spans="1:255" ht="24" x14ac:dyDescent="0.15">
      <c r="A13" s="27" t="s">
        <v>96</v>
      </c>
      <c r="B13" s="28">
        <v>2020</v>
      </c>
      <c r="C13" s="28">
        <v>2021</v>
      </c>
      <c r="D13" s="28">
        <v>2022</v>
      </c>
      <c r="E13" s="28">
        <v>2023</v>
      </c>
      <c r="F13" s="28">
        <v>2024</v>
      </c>
    </row>
    <row r="14" spans="1:255" x14ac:dyDescent="0.15">
      <c r="A14" s="7" t="s">
        <v>195</v>
      </c>
      <c r="B14" s="5"/>
      <c r="C14" s="5"/>
      <c r="D14" s="5"/>
      <c r="E14" s="5"/>
      <c r="F14" s="5"/>
    </row>
    <row r="15" spans="1:255" x14ac:dyDescent="0.15">
      <c r="A15" s="5" t="s">
        <v>260</v>
      </c>
      <c r="B15" s="11">
        <v>0.12776599999999999</v>
      </c>
      <c r="C15" s="11">
        <v>2.5840999999999999E-2</v>
      </c>
      <c r="D15" s="11">
        <v>5.6120999999999997E-2</v>
      </c>
      <c r="E15" s="11">
        <v>5.3415999999999998E-2</v>
      </c>
      <c r="F15" s="11">
        <v>7.0798E-2</v>
      </c>
    </row>
    <row r="16" spans="1:255" x14ac:dyDescent="0.15">
      <c r="A16" s="5" t="s">
        <v>259</v>
      </c>
      <c r="B16" s="11">
        <v>0.17025000000000001</v>
      </c>
      <c r="C16" s="11">
        <v>3.4417999999999997E-2</v>
      </c>
      <c r="D16" s="11">
        <v>7.2539999999999993E-2</v>
      </c>
      <c r="E16" s="11">
        <v>6.7677000000000001E-2</v>
      </c>
      <c r="F16" s="11">
        <v>9.1183E-2</v>
      </c>
    </row>
    <row r="17" spans="1:6" x14ac:dyDescent="0.15">
      <c r="A17" s="5" t="s">
        <v>258</v>
      </c>
      <c r="B17" s="11">
        <v>0.226822</v>
      </c>
      <c r="C17" s="11">
        <v>1.4999999999999999E-2</v>
      </c>
      <c r="D17" s="11">
        <v>6.5559000000000006E-2</v>
      </c>
      <c r="E17" s="11">
        <v>7.1045999999999998E-2</v>
      </c>
      <c r="F17" s="11">
        <v>5.9871000000000001E-2</v>
      </c>
    </row>
    <row r="18" spans="1:6" x14ac:dyDescent="0.15">
      <c r="A18" s="5" t="s">
        <v>257</v>
      </c>
      <c r="B18" s="11">
        <v>0.22544600000000001</v>
      </c>
      <c r="C18" s="11">
        <v>1.4945999999999999E-2</v>
      </c>
      <c r="D18" s="11">
        <v>6.5405000000000005E-2</v>
      </c>
      <c r="E18" s="11">
        <v>7.0902999999999994E-2</v>
      </c>
      <c r="F18" s="11">
        <v>5.9729999999999998E-2</v>
      </c>
    </row>
    <row r="19" spans="1:6" x14ac:dyDescent="0.15">
      <c r="A19" s="5"/>
      <c r="B19" s="5"/>
      <c r="C19" s="5"/>
      <c r="D19" s="5"/>
      <c r="E19" s="5"/>
      <c r="F19" s="5"/>
    </row>
    <row r="20" spans="1:6" x14ac:dyDescent="0.15">
      <c r="A20" s="7" t="s">
        <v>256</v>
      </c>
      <c r="B20" s="5"/>
      <c r="C20" s="5"/>
      <c r="D20" s="5"/>
      <c r="E20" s="5"/>
      <c r="F20" s="5"/>
    </row>
    <row r="21" spans="1:6" x14ac:dyDescent="0.15">
      <c r="A21" s="5" t="s">
        <v>255</v>
      </c>
      <c r="B21" s="11">
        <v>0.46903699999999998</v>
      </c>
      <c r="C21" s="11">
        <v>0.38772499999999999</v>
      </c>
      <c r="D21" s="11">
        <v>0.41236699999999998</v>
      </c>
      <c r="E21" s="11">
        <v>0.42435400000000001</v>
      </c>
      <c r="F21" s="11">
        <v>0.443996</v>
      </c>
    </row>
    <row r="22" spans="1:6" x14ac:dyDescent="0.15">
      <c r="A22" s="5" t="s">
        <v>254</v>
      </c>
      <c r="B22" s="11">
        <v>0.32582800000000001</v>
      </c>
      <c r="C22" s="11">
        <v>0.35993799999999998</v>
      </c>
      <c r="D22" s="11">
        <v>0.35206500000000002</v>
      </c>
      <c r="E22" s="11">
        <v>0.36370400000000003</v>
      </c>
      <c r="F22" s="11">
        <v>0.368587</v>
      </c>
    </row>
    <row r="23" spans="1:6" x14ac:dyDescent="0.15">
      <c r="A23" s="5" t="s">
        <v>253</v>
      </c>
      <c r="B23" s="11">
        <v>0.18101999999999999</v>
      </c>
      <c r="C23" s="11">
        <v>6.2824000000000005E-2</v>
      </c>
      <c r="D23" s="11">
        <v>9.9222000000000005E-2</v>
      </c>
      <c r="E23" s="11">
        <v>0.104531</v>
      </c>
      <c r="F23" s="11">
        <v>0.122103</v>
      </c>
    </row>
    <row r="24" spans="1:6" x14ac:dyDescent="0.15">
      <c r="A24" s="5" t="s">
        <v>252</v>
      </c>
      <c r="B24" s="11">
        <v>0.14335400000000001</v>
      </c>
      <c r="C24" s="11">
        <v>2.7909E-2</v>
      </c>
      <c r="D24" s="11">
        <v>6.0302000000000001E-2</v>
      </c>
      <c r="E24" s="11">
        <v>6.0775000000000003E-2</v>
      </c>
      <c r="F24" s="11">
        <v>7.5713000000000003E-2</v>
      </c>
    </row>
    <row r="25" spans="1:6" x14ac:dyDescent="0.15">
      <c r="A25" s="5" t="s">
        <v>251</v>
      </c>
      <c r="B25" s="11">
        <v>0.143209</v>
      </c>
      <c r="C25" s="11">
        <v>2.7786000000000002E-2</v>
      </c>
      <c r="D25" s="11">
        <v>6.0302000000000001E-2</v>
      </c>
      <c r="E25" s="11">
        <v>6.0649000000000002E-2</v>
      </c>
      <c r="F25" s="11">
        <v>7.5409000000000004E-2</v>
      </c>
    </row>
    <row r="26" spans="1:6" x14ac:dyDescent="0.15">
      <c r="A26" s="5" t="s">
        <v>250</v>
      </c>
      <c r="B26" s="11">
        <v>0.11054799999999999</v>
      </c>
      <c r="C26" s="11">
        <v>7.0720000000000002E-3</v>
      </c>
      <c r="D26" s="11">
        <v>3.2177999999999998E-2</v>
      </c>
      <c r="E26" s="11">
        <v>3.7961000000000002E-2</v>
      </c>
      <c r="F26" s="11">
        <v>2.9655000000000001E-2</v>
      </c>
    </row>
    <row r="27" spans="1:6" x14ac:dyDescent="0.15">
      <c r="A27" s="5" t="s">
        <v>249</v>
      </c>
      <c r="B27" s="11">
        <v>0.11054799999999999</v>
      </c>
      <c r="C27" s="11">
        <v>7.0720000000000002E-3</v>
      </c>
      <c r="D27" s="11">
        <v>3.2177999999999998E-2</v>
      </c>
      <c r="E27" s="11">
        <v>3.7961000000000002E-2</v>
      </c>
      <c r="F27" s="11">
        <v>2.9655000000000001E-2</v>
      </c>
    </row>
    <row r="28" spans="1:6" x14ac:dyDescent="0.15">
      <c r="A28" s="5" t="s">
        <v>248</v>
      </c>
      <c r="B28" s="11">
        <v>0.109878</v>
      </c>
      <c r="C28" s="11">
        <v>7.0470000000000003E-3</v>
      </c>
      <c r="D28" s="11">
        <v>3.2101999999999999E-2</v>
      </c>
      <c r="E28" s="11">
        <v>3.7884000000000001E-2</v>
      </c>
      <c r="F28" s="11">
        <v>2.9586000000000001E-2</v>
      </c>
    </row>
    <row r="29" spans="1:6" x14ac:dyDescent="0.15">
      <c r="A29" s="5" t="s">
        <v>247</v>
      </c>
      <c r="B29" s="11">
        <v>8.9513999999999996E-2</v>
      </c>
      <c r="C29" s="11">
        <v>1.7035999999999999E-2</v>
      </c>
      <c r="D29" s="11">
        <v>3.7880999999999998E-2</v>
      </c>
      <c r="E29" s="11">
        <v>4.0889000000000002E-2</v>
      </c>
      <c r="F29" s="11">
        <v>5.0741000000000001E-2</v>
      </c>
    </row>
    <row r="30" spans="1:6" x14ac:dyDescent="0.15">
      <c r="A30" s="5" t="s">
        <v>246</v>
      </c>
      <c r="B30" s="11">
        <v>5.9390999999999999E-2</v>
      </c>
      <c r="C30" s="11">
        <v>-4.0688000000000002E-2</v>
      </c>
      <c r="D30" s="11">
        <v>5.6398999999999998E-2</v>
      </c>
      <c r="E30" s="11">
        <v>9.0431999999999998E-2</v>
      </c>
      <c r="F30" s="11">
        <v>7.5301999999999994E-2</v>
      </c>
    </row>
    <row r="31" spans="1:6" x14ac:dyDescent="0.15">
      <c r="A31" s="5" t="s">
        <v>245</v>
      </c>
      <c r="B31" s="11">
        <v>5.9463000000000002E-2</v>
      </c>
      <c r="C31" s="11">
        <v>-4.0654000000000003E-2</v>
      </c>
      <c r="D31" s="11">
        <v>5.6398999999999998E-2</v>
      </c>
      <c r="E31" s="11">
        <v>9.0431999999999998E-2</v>
      </c>
      <c r="F31" s="11">
        <v>7.5301999999999994E-2</v>
      </c>
    </row>
    <row r="32" spans="1:6" x14ac:dyDescent="0.15">
      <c r="A32" s="5"/>
      <c r="B32" s="5"/>
      <c r="C32" s="5"/>
      <c r="D32" s="5"/>
      <c r="E32" s="5"/>
      <c r="F32" s="5"/>
    </row>
    <row r="33" spans="1:6" x14ac:dyDescent="0.15">
      <c r="A33" s="7" t="s">
        <v>198</v>
      </c>
      <c r="B33" s="5"/>
      <c r="C33" s="5"/>
      <c r="D33" s="5"/>
      <c r="E33" s="5"/>
      <c r="F33" s="5"/>
    </row>
    <row r="34" spans="1:6" x14ac:dyDescent="0.15">
      <c r="A34" s="5" t="s">
        <v>244</v>
      </c>
      <c r="B34" s="36">
        <v>1.4274690000000001</v>
      </c>
      <c r="C34" s="36">
        <v>1.4880059999999999</v>
      </c>
      <c r="D34" s="36">
        <v>1.4890760000000001</v>
      </c>
      <c r="E34" s="36">
        <v>1.4091819999999999</v>
      </c>
      <c r="F34" s="36">
        <v>1.5021770000000001</v>
      </c>
    </row>
    <row r="35" spans="1:6" x14ac:dyDescent="0.15">
      <c r="A35" s="5" t="s">
        <v>243</v>
      </c>
      <c r="B35" s="36">
        <v>2.720844</v>
      </c>
      <c r="C35" s="36">
        <v>2.9412349999999998</v>
      </c>
      <c r="D35" s="36">
        <v>2.9250449999999999</v>
      </c>
      <c r="E35" s="36">
        <v>2.890638</v>
      </c>
      <c r="F35" s="36">
        <v>3.0449350000000002</v>
      </c>
    </row>
    <row r="36" spans="1:6" x14ac:dyDescent="0.15">
      <c r="A36" s="5" t="s">
        <v>242</v>
      </c>
      <c r="B36" s="36">
        <v>26.158569</v>
      </c>
      <c r="C36" s="36">
        <v>30.853531</v>
      </c>
      <c r="D36" s="36">
        <v>37.429656000000001</v>
      </c>
      <c r="E36" s="36">
        <v>32.483888</v>
      </c>
      <c r="F36" s="36">
        <v>31.349104000000001</v>
      </c>
    </row>
    <row r="37" spans="1:6" x14ac:dyDescent="0.15">
      <c r="A37" s="5" t="s">
        <v>241</v>
      </c>
      <c r="B37" s="36">
        <v>7.7821290000000003</v>
      </c>
      <c r="C37" s="36">
        <v>8.9978850000000001</v>
      </c>
      <c r="D37" s="36">
        <v>8.2559140000000006</v>
      </c>
      <c r="E37" s="36">
        <v>8.752122</v>
      </c>
      <c r="F37" s="36">
        <v>9.6096190000000004</v>
      </c>
    </row>
    <row r="38" spans="1:6" x14ac:dyDescent="0.15">
      <c r="A38" s="5"/>
      <c r="B38" s="5"/>
      <c r="C38" s="5"/>
      <c r="D38" s="5"/>
      <c r="E38" s="5"/>
      <c r="F38" s="5"/>
    </row>
    <row r="39" spans="1:6" x14ac:dyDescent="0.15">
      <c r="A39" s="7" t="s">
        <v>240</v>
      </c>
      <c r="B39" s="5"/>
      <c r="C39" s="5"/>
      <c r="D39" s="5"/>
      <c r="E39" s="5"/>
      <c r="F39" s="5"/>
    </row>
    <row r="40" spans="1:6" x14ac:dyDescent="0.15">
      <c r="A40" s="5" t="s">
        <v>239</v>
      </c>
      <c r="B40" s="36">
        <v>1.5926610000000001</v>
      </c>
      <c r="C40" s="36">
        <v>1.353715</v>
      </c>
      <c r="D40" s="36">
        <v>2.0721349999999998</v>
      </c>
      <c r="E40" s="36">
        <v>2.2549800000000002</v>
      </c>
      <c r="F40" s="36">
        <v>1.8015490000000001</v>
      </c>
    </row>
    <row r="41" spans="1:6" x14ac:dyDescent="0.15">
      <c r="A41" s="5" t="s">
        <v>238</v>
      </c>
      <c r="B41" s="36">
        <v>0.97151299999999996</v>
      </c>
      <c r="C41" s="36">
        <v>0.53034000000000003</v>
      </c>
      <c r="D41" s="36">
        <v>1.2109540000000001</v>
      </c>
      <c r="E41" s="36">
        <v>1.6445080000000001</v>
      </c>
      <c r="F41" s="36">
        <v>1.2084969999999999</v>
      </c>
    </row>
    <row r="42" spans="1:6" x14ac:dyDescent="0.15">
      <c r="A42" s="5" t="s">
        <v>237</v>
      </c>
      <c r="B42" s="36">
        <v>0.97680999999999996</v>
      </c>
      <c r="C42" s="36">
        <v>0.22067999999999999</v>
      </c>
      <c r="D42" s="36">
        <v>0.97884099999999996</v>
      </c>
      <c r="E42" s="36">
        <v>1.187484</v>
      </c>
      <c r="F42" s="36">
        <v>1.0745279999999999</v>
      </c>
    </row>
    <row r="43" spans="1:6" x14ac:dyDescent="0.15">
      <c r="A43" s="5" t="s">
        <v>236</v>
      </c>
      <c r="B43" s="8">
        <v>13.914992</v>
      </c>
      <c r="C43" s="8">
        <v>11.797604</v>
      </c>
      <c r="D43" s="8">
        <v>9.9116359999999997</v>
      </c>
      <c r="E43" s="8">
        <v>11.205375999999999</v>
      </c>
      <c r="F43" s="8">
        <v>11.610872000000001</v>
      </c>
    </row>
    <row r="44" spans="1:6" x14ac:dyDescent="0.15">
      <c r="A44" s="5" t="s">
        <v>235</v>
      </c>
      <c r="B44" s="8">
        <v>46.773636000000003</v>
      </c>
      <c r="C44" s="8">
        <v>40.453868</v>
      </c>
      <c r="D44" s="8">
        <v>44.937375000000003</v>
      </c>
      <c r="E44" s="8">
        <v>41.589911999999998</v>
      </c>
      <c r="F44" s="8">
        <v>37.878568000000001</v>
      </c>
    </row>
    <row r="45" spans="1:6" x14ac:dyDescent="0.15">
      <c r="A45" s="5" t="s">
        <v>234</v>
      </c>
      <c r="B45" s="8">
        <v>38.062752000000003</v>
      </c>
      <c r="C45" s="8">
        <v>29.558620000000001</v>
      </c>
      <c r="D45" s="8">
        <v>25.711784000000002</v>
      </c>
      <c r="E45" s="8">
        <v>27.778659999999999</v>
      </c>
      <c r="F45" s="8">
        <v>28.34468</v>
      </c>
    </row>
    <row r="46" spans="1:6" x14ac:dyDescent="0.15">
      <c r="A46" s="5" t="s">
        <v>233</v>
      </c>
      <c r="B46" s="8">
        <v>22.625876000000002</v>
      </c>
      <c r="C46" s="8">
        <v>22.692851999999998</v>
      </c>
      <c r="D46" s="8">
        <v>29.137226999999999</v>
      </c>
      <c r="E46" s="8">
        <v>25.016628000000001</v>
      </c>
      <c r="F46" s="8">
        <v>21.144760000000002</v>
      </c>
    </row>
    <row r="47" spans="1:6" x14ac:dyDescent="0.15">
      <c r="A47" s="5"/>
      <c r="B47" s="5"/>
      <c r="C47" s="5"/>
      <c r="D47" s="5"/>
      <c r="E47" s="5"/>
      <c r="F47" s="5"/>
    </row>
    <row r="48" spans="1:6" x14ac:dyDescent="0.15">
      <c r="A48" s="7" t="s">
        <v>232</v>
      </c>
      <c r="B48" s="5"/>
      <c r="C48" s="5"/>
      <c r="D48" s="5"/>
      <c r="E48" s="5"/>
      <c r="F48" s="5"/>
    </row>
    <row r="49" spans="1:6" x14ac:dyDescent="0.15">
      <c r="A49" s="5" t="s">
        <v>231</v>
      </c>
      <c r="B49" s="11">
        <v>7.4701000000000004E-2</v>
      </c>
      <c r="C49" s="11">
        <v>6.5628000000000006E-2</v>
      </c>
      <c r="D49" s="11">
        <v>5.2032000000000002E-2</v>
      </c>
      <c r="E49" s="11">
        <v>4.4512999999999997E-2</v>
      </c>
      <c r="F49" s="11">
        <v>4.2326999999999997E-2</v>
      </c>
    </row>
    <row r="50" spans="1:6" x14ac:dyDescent="0.15">
      <c r="A50" s="5" t="s">
        <v>266</v>
      </c>
      <c r="B50" s="11">
        <v>6.9509000000000001E-2</v>
      </c>
      <c r="C50" s="11">
        <v>6.1586000000000002E-2</v>
      </c>
      <c r="D50" s="11">
        <v>4.9458000000000002E-2</v>
      </c>
      <c r="E50" s="11">
        <v>4.2616000000000001E-2</v>
      </c>
      <c r="F50" s="11">
        <v>4.0607999999999998E-2</v>
      </c>
    </row>
    <row r="51" spans="1:6" x14ac:dyDescent="0.15">
      <c r="A51" s="5" t="s">
        <v>230</v>
      </c>
      <c r="B51" s="11">
        <v>6.4581E-2</v>
      </c>
      <c r="C51" s="11">
        <v>5.6240999999999999E-2</v>
      </c>
      <c r="D51" s="11">
        <v>4.2859000000000001E-2</v>
      </c>
      <c r="E51" s="11">
        <v>3.4891999999999999E-2</v>
      </c>
      <c r="F51" s="11">
        <v>3.3988999999999998E-2</v>
      </c>
    </row>
    <row r="52" spans="1:6" x14ac:dyDescent="0.15">
      <c r="A52" s="5" t="s">
        <v>229</v>
      </c>
      <c r="B52" s="11">
        <v>6.0092E-2</v>
      </c>
      <c r="C52" s="11">
        <v>5.2776999999999998E-2</v>
      </c>
      <c r="D52" s="11">
        <v>4.0739999999999998E-2</v>
      </c>
      <c r="E52" s="11">
        <v>3.3404999999999997E-2</v>
      </c>
      <c r="F52" s="11">
        <v>3.2608999999999999E-2</v>
      </c>
    </row>
    <row r="53" spans="1:6" x14ac:dyDescent="0.15">
      <c r="A53" s="5" t="s">
        <v>228</v>
      </c>
      <c r="B53" s="11">
        <v>0.305954</v>
      </c>
      <c r="C53" s="11">
        <v>0.29087000000000002</v>
      </c>
      <c r="D53" s="11">
        <v>0.24790999999999999</v>
      </c>
      <c r="E53" s="11">
        <v>0.246199</v>
      </c>
      <c r="F53" s="11">
        <v>0.26706000000000002</v>
      </c>
    </row>
    <row r="54" spans="1:6" x14ac:dyDescent="0.15">
      <c r="A54" s="5"/>
      <c r="B54" s="5"/>
      <c r="C54" s="5"/>
      <c r="D54" s="5"/>
      <c r="E54" s="5"/>
      <c r="F54" s="5"/>
    </row>
    <row r="55" spans="1:6" ht="12" x14ac:dyDescent="0.15">
      <c r="A55" s="5" t="s">
        <v>267</v>
      </c>
      <c r="B55" s="36" t="s">
        <v>30</v>
      </c>
      <c r="C55" s="36" t="s">
        <v>30</v>
      </c>
      <c r="D55" s="9" t="s">
        <v>9</v>
      </c>
      <c r="E55" s="9" t="s">
        <v>9</v>
      </c>
      <c r="F55" s="9" t="s">
        <v>9</v>
      </c>
    </row>
    <row r="56" spans="1:6" ht="12" x14ac:dyDescent="0.15">
      <c r="A56" s="5" t="s">
        <v>227</v>
      </c>
      <c r="B56" s="36" t="s">
        <v>30</v>
      </c>
      <c r="C56" s="36" t="s">
        <v>30</v>
      </c>
      <c r="D56" s="9" t="s">
        <v>9</v>
      </c>
      <c r="E56" s="9" t="s">
        <v>9</v>
      </c>
      <c r="F56" s="9" t="s">
        <v>9</v>
      </c>
    </row>
    <row r="57" spans="1:6" ht="12" x14ac:dyDescent="0.15">
      <c r="A57" s="5" t="s">
        <v>226</v>
      </c>
      <c r="B57" s="36" t="s">
        <v>30</v>
      </c>
      <c r="C57" s="9" t="s">
        <v>30</v>
      </c>
      <c r="D57" s="9" t="s">
        <v>9</v>
      </c>
      <c r="E57" s="9" t="s">
        <v>9</v>
      </c>
      <c r="F57" s="9" t="s">
        <v>9</v>
      </c>
    </row>
    <row r="58" spans="1:6" x14ac:dyDescent="0.15">
      <c r="A58" s="5" t="s">
        <v>225</v>
      </c>
      <c r="B58" s="36">
        <v>0.21946199999999999</v>
      </c>
      <c r="C58" s="36">
        <v>0.45875500000000002</v>
      </c>
      <c r="D58" s="36">
        <v>0.254938</v>
      </c>
      <c r="E58" s="36">
        <v>0.21918599999999999</v>
      </c>
      <c r="F58" s="36">
        <v>0.15162200000000001</v>
      </c>
    </row>
    <row r="59" spans="1:6" ht="12" x14ac:dyDescent="0.15">
      <c r="A59" s="5" t="s">
        <v>224</v>
      </c>
      <c r="B59" s="9" t="s">
        <v>30</v>
      </c>
      <c r="C59" s="36">
        <v>0.26788200000000001</v>
      </c>
      <c r="D59" s="9" t="s">
        <v>30</v>
      </c>
      <c r="E59" s="9" t="s">
        <v>30</v>
      </c>
      <c r="F59" s="9" t="s">
        <v>30</v>
      </c>
    </row>
    <row r="60" spans="1:6" ht="12" x14ac:dyDescent="0.15">
      <c r="A60" s="5" t="s">
        <v>223</v>
      </c>
      <c r="B60" s="36">
        <v>0.38487399999999999</v>
      </c>
      <c r="C60" s="9" t="s">
        <v>30</v>
      </c>
      <c r="D60" s="36">
        <v>0.43604999999999999</v>
      </c>
      <c r="E60" s="36">
        <v>0.309917</v>
      </c>
      <c r="F60" s="36">
        <v>0.216057</v>
      </c>
    </row>
    <row r="61" spans="1:6" ht="12" x14ac:dyDescent="0.15">
      <c r="A61" s="5" t="s">
        <v>222</v>
      </c>
      <c r="B61" s="9" t="s">
        <v>30</v>
      </c>
      <c r="C61" s="9" t="s">
        <v>30</v>
      </c>
      <c r="D61" s="9" t="s">
        <v>30</v>
      </c>
      <c r="E61" s="9" t="s">
        <v>30</v>
      </c>
      <c r="F61" s="9" t="s">
        <v>30</v>
      </c>
    </row>
    <row r="62" spans="1:6" x14ac:dyDescent="0.15">
      <c r="A62" s="5"/>
      <c r="B62" s="5"/>
      <c r="C62" s="5"/>
      <c r="D62" s="5"/>
      <c r="E62" s="5"/>
      <c r="F62" s="5"/>
    </row>
    <row r="63" spans="1:6" x14ac:dyDescent="0.15">
      <c r="A63" s="5" t="s">
        <v>221</v>
      </c>
      <c r="B63" s="14">
        <v>13.450759</v>
      </c>
      <c r="C63" s="14">
        <v>17.329761000000001</v>
      </c>
      <c r="D63" s="14">
        <v>10.087052</v>
      </c>
      <c r="E63" s="14">
        <v>9.4083939999999995</v>
      </c>
      <c r="F63" s="14">
        <v>8.7719170000000002</v>
      </c>
    </row>
    <row r="64" spans="1:6" x14ac:dyDescent="0.15">
      <c r="A64" s="5"/>
      <c r="B64" s="5"/>
      <c r="C64" s="5"/>
      <c r="D64" s="5"/>
      <c r="E64" s="5"/>
      <c r="F64" s="5"/>
    </row>
    <row r="65" spans="1:6" x14ac:dyDescent="0.15">
      <c r="A65" s="7" t="s">
        <v>220</v>
      </c>
      <c r="B65" s="5"/>
      <c r="C65" s="5"/>
      <c r="D65" s="5"/>
      <c r="E65" s="5"/>
      <c r="F65" s="5"/>
    </row>
    <row r="66" spans="1:6" x14ac:dyDescent="0.15">
      <c r="A66" s="5" t="s">
        <v>85</v>
      </c>
      <c r="B66" s="11">
        <v>0.38934099999999999</v>
      </c>
      <c r="C66" s="11">
        <v>0.184971</v>
      </c>
      <c r="D66" s="11">
        <v>1.5897000000000001E-2</v>
      </c>
      <c r="E66" s="11">
        <v>-3.9088999999999999E-2</v>
      </c>
      <c r="F66" s="11">
        <v>2.1410000000000001E-3</v>
      </c>
    </row>
    <row r="67" spans="1:6" x14ac:dyDescent="0.15">
      <c r="A67" s="5" t="s">
        <v>83</v>
      </c>
      <c r="B67" s="11">
        <v>0.32611000000000001</v>
      </c>
      <c r="C67" s="11">
        <v>-2.0455999999999998E-2</v>
      </c>
      <c r="D67" s="11">
        <v>8.0463999999999994E-2</v>
      </c>
      <c r="E67" s="11">
        <v>-1.1157E-2</v>
      </c>
      <c r="F67" s="11">
        <v>4.8527000000000001E-2</v>
      </c>
    </row>
    <row r="68" spans="1:6" x14ac:dyDescent="0.15">
      <c r="A68" s="5" t="s">
        <v>216</v>
      </c>
      <c r="B68" s="11">
        <v>0.555365</v>
      </c>
      <c r="C68" s="11">
        <v>-0.58874499999999996</v>
      </c>
      <c r="D68" s="11">
        <v>0.60445499999999996</v>
      </c>
      <c r="E68" s="11">
        <v>1.2323000000000001E-2</v>
      </c>
      <c r="F68" s="11">
        <v>0.17060500000000001</v>
      </c>
    </row>
    <row r="69" spans="1:6" x14ac:dyDescent="0.15">
      <c r="A69" s="5" t="s">
        <v>215</v>
      </c>
      <c r="B69" s="11">
        <v>0.70555599999999996</v>
      </c>
      <c r="C69" s="11">
        <v>-0.76930100000000001</v>
      </c>
      <c r="D69" s="11">
        <v>1.194995</v>
      </c>
      <c r="E69" s="11">
        <v>-3.1543000000000002E-2</v>
      </c>
      <c r="F69" s="11">
        <v>0.24845100000000001</v>
      </c>
    </row>
    <row r="70" spans="1:6" x14ac:dyDescent="0.15">
      <c r="A70" s="5" t="s">
        <v>214</v>
      </c>
      <c r="B70" s="11">
        <v>0.70530700000000002</v>
      </c>
      <c r="C70" s="11">
        <v>-0.77008399999999999</v>
      </c>
      <c r="D70" s="11">
        <v>1.2047079999999999</v>
      </c>
      <c r="E70" s="11">
        <v>-3.3550000000000003E-2</v>
      </c>
      <c r="F70" s="11">
        <v>0.24601200000000001</v>
      </c>
    </row>
    <row r="71" spans="1:6" x14ac:dyDescent="0.15">
      <c r="A71" s="5" t="s">
        <v>58</v>
      </c>
      <c r="B71" s="11">
        <v>0.74443999999999999</v>
      </c>
      <c r="C71" s="11">
        <v>-0.92418800000000001</v>
      </c>
      <c r="D71" s="11">
        <v>3.6219329999999998</v>
      </c>
      <c r="E71" s="11">
        <v>0.13360900000000001</v>
      </c>
      <c r="F71" s="11">
        <v>-0.217115</v>
      </c>
    </row>
    <row r="72" spans="1:6" x14ac:dyDescent="0.15">
      <c r="A72" s="5" t="s">
        <v>53</v>
      </c>
      <c r="B72" s="11">
        <v>0.74443999999999999</v>
      </c>
      <c r="C72" s="11">
        <v>-0.92418800000000001</v>
      </c>
      <c r="D72" s="11">
        <v>3.6219329999999998</v>
      </c>
      <c r="E72" s="11">
        <v>0.13360900000000001</v>
      </c>
      <c r="F72" s="11">
        <v>-0.217115</v>
      </c>
    </row>
    <row r="73" spans="1:6" x14ac:dyDescent="0.15">
      <c r="A73" s="5" t="s">
        <v>213</v>
      </c>
      <c r="B73" s="11">
        <v>0.71182699999999999</v>
      </c>
      <c r="C73" s="11">
        <v>-0.77447999999999995</v>
      </c>
      <c r="D73" s="11">
        <v>1.258977</v>
      </c>
      <c r="E73" s="11">
        <v>3.7198000000000002E-2</v>
      </c>
      <c r="F73" s="11">
        <v>0.24360299999999999</v>
      </c>
    </row>
    <row r="74" spans="1:6" x14ac:dyDescent="0.15">
      <c r="A74" s="5" t="s">
        <v>212</v>
      </c>
      <c r="B74" s="11">
        <v>0.69579899999999995</v>
      </c>
      <c r="C74" s="11">
        <v>-0.92466899999999996</v>
      </c>
      <c r="D74" s="11">
        <v>3.6451370000000001</v>
      </c>
      <c r="E74" s="11">
        <v>0.142015</v>
      </c>
      <c r="F74" s="11">
        <v>-0.184645</v>
      </c>
    </row>
    <row r="75" spans="1:6" x14ac:dyDescent="0.15">
      <c r="A75" s="5"/>
      <c r="B75" s="5"/>
      <c r="C75" s="5"/>
      <c r="D75" s="5"/>
      <c r="E75" s="5"/>
      <c r="F75" s="5"/>
    </row>
    <row r="76" spans="1:6" x14ac:dyDescent="0.15">
      <c r="A76" s="5" t="s">
        <v>211</v>
      </c>
      <c r="B76" s="11">
        <v>0.44029800000000002</v>
      </c>
      <c r="C76" s="11">
        <v>-0.29781299999999999</v>
      </c>
      <c r="D76" s="11">
        <v>2.9988000000000001E-2</v>
      </c>
      <c r="E76" s="11">
        <v>0.18218799999999999</v>
      </c>
      <c r="F76" s="11">
        <v>-8.3197999999999994E-2</v>
      </c>
    </row>
    <row r="77" spans="1:6" x14ac:dyDescent="0.15">
      <c r="A77" s="5" t="s">
        <v>210</v>
      </c>
      <c r="B77" s="11">
        <v>0.23455699999999999</v>
      </c>
      <c r="C77" s="11">
        <v>0.13908699999999999</v>
      </c>
      <c r="D77" s="11">
        <v>-4.4799999999999996E-3</v>
      </c>
      <c r="E77" s="11">
        <v>-0.22012200000000001</v>
      </c>
      <c r="F77" s="11">
        <v>1.1971000000000001E-2</v>
      </c>
    </row>
    <row r="78" spans="1:6" x14ac:dyDescent="0.15">
      <c r="A78" s="5" t="s">
        <v>209</v>
      </c>
      <c r="B78" s="11">
        <v>0.14582400000000001</v>
      </c>
      <c r="C78" s="11">
        <v>5.2852999999999997E-2</v>
      </c>
      <c r="D78" s="11">
        <v>-8.2389999999999998E-3</v>
      </c>
      <c r="E78" s="11">
        <v>-4.7225999999999997E-2</v>
      </c>
      <c r="F78" s="11">
        <v>-5.0126999999999998E-2</v>
      </c>
    </row>
    <row r="79" spans="1:6" x14ac:dyDescent="0.15">
      <c r="A79" s="5" t="s">
        <v>208</v>
      </c>
      <c r="B79" s="11">
        <v>0.308112</v>
      </c>
      <c r="C79" s="11">
        <v>5.7720000000000002E-3</v>
      </c>
      <c r="D79" s="11">
        <v>2.4509E-2</v>
      </c>
      <c r="E79" s="11">
        <v>6.489E-3</v>
      </c>
      <c r="F79" s="11">
        <v>-0.125858</v>
      </c>
    </row>
    <row r="80" spans="1:6" x14ac:dyDescent="0.15">
      <c r="A80" s="5"/>
      <c r="B80" s="5"/>
      <c r="C80" s="5"/>
      <c r="D80" s="5"/>
      <c r="E80" s="5"/>
      <c r="F80" s="5"/>
    </row>
    <row r="81" spans="1:6" x14ac:dyDescent="0.15">
      <c r="A81" s="5" t="s">
        <v>207</v>
      </c>
      <c r="B81" s="11">
        <v>0.42725099999999999</v>
      </c>
      <c r="C81" s="11">
        <v>3.6048999999999998E-2</v>
      </c>
      <c r="D81" s="11">
        <v>0.14662700000000001</v>
      </c>
      <c r="E81" s="11">
        <v>2.9623E-2</v>
      </c>
      <c r="F81" s="11">
        <v>-0.130879</v>
      </c>
    </row>
    <row r="82" spans="1:6" x14ac:dyDescent="0.15">
      <c r="A82" s="5" t="s">
        <v>206</v>
      </c>
      <c r="B82" s="11">
        <v>0.30087000000000003</v>
      </c>
      <c r="C82" s="11">
        <v>2.7630999999999999E-2</v>
      </c>
      <c r="D82" s="11">
        <v>8.6576E-2</v>
      </c>
      <c r="E82" s="11">
        <v>8.7779999999999993E-3</v>
      </c>
      <c r="F82" s="11">
        <v>-0.15004899999999999</v>
      </c>
    </row>
    <row r="83" spans="1:6" x14ac:dyDescent="0.15">
      <c r="A83" s="5" t="s">
        <v>205</v>
      </c>
      <c r="B83" s="11">
        <v>0.42170099999999999</v>
      </c>
      <c r="C83" s="11">
        <v>-0.77783999999999998</v>
      </c>
      <c r="D83" s="11">
        <v>2.5516100000000002</v>
      </c>
      <c r="E83" s="11">
        <v>0.32611899999999999</v>
      </c>
      <c r="F83" s="11">
        <v>-6.132E-2</v>
      </c>
    </row>
    <row r="84" spans="1:6" x14ac:dyDescent="0.15">
      <c r="A84" s="5" t="s">
        <v>204</v>
      </c>
      <c r="B84" s="11">
        <v>0.50157099999999999</v>
      </c>
      <c r="C84" s="11">
        <v>5.6593999999999998E-2</v>
      </c>
      <c r="D84" s="11">
        <v>-0.387625</v>
      </c>
      <c r="E84" s="11">
        <v>-0.29249799999999998</v>
      </c>
      <c r="F84" s="11">
        <v>0.19020999999999999</v>
      </c>
    </row>
    <row r="85" spans="1:6" ht="12" x14ac:dyDescent="0.15">
      <c r="A85" s="5" t="s">
        <v>203</v>
      </c>
      <c r="B85" s="11">
        <v>0.65991100000000003</v>
      </c>
      <c r="C85" s="11" t="s">
        <v>30</v>
      </c>
      <c r="D85" s="11" t="s">
        <v>30</v>
      </c>
      <c r="E85" s="11">
        <v>0.54075799999999996</v>
      </c>
      <c r="F85" s="11">
        <v>-0.16552500000000001</v>
      </c>
    </row>
    <row r="86" spans="1:6" ht="12" x14ac:dyDescent="0.15">
      <c r="A86" s="5" t="s">
        <v>202</v>
      </c>
      <c r="B86" s="11">
        <v>0.66191299999999997</v>
      </c>
      <c r="C86" s="11" t="s">
        <v>30</v>
      </c>
      <c r="D86" s="11" t="s">
        <v>30</v>
      </c>
      <c r="E86" s="11">
        <v>0.54075799999999996</v>
      </c>
      <c r="F86" s="11">
        <v>-0.16552500000000001</v>
      </c>
    </row>
    <row r="87" spans="1:6" ht="12" x14ac:dyDescent="0.15">
      <c r="A87" s="5" t="s">
        <v>201</v>
      </c>
      <c r="B87" s="9" t="s">
        <v>9</v>
      </c>
      <c r="C87" s="9" t="s">
        <v>9</v>
      </c>
      <c r="D87" s="9" t="s">
        <v>9</v>
      </c>
      <c r="E87" s="9" t="s">
        <v>9</v>
      </c>
      <c r="F87" s="9" t="s">
        <v>9</v>
      </c>
    </row>
    <row r="88" spans="1:6" x14ac:dyDescent="0.15">
      <c r="A88" s="5"/>
      <c r="B88" s="5"/>
      <c r="C88" s="5"/>
      <c r="D88" s="5"/>
      <c r="E88" s="5"/>
      <c r="F88" s="5"/>
    </row>
    <row r="89" spans="1:6" x14ac:dyDescent="0.15">
      <c r="A89" s="7" t="s">
        <v>219</v>
      </c>
      <c r="B89" s="5"/>
      <c r="C89" s="5"/>
      <c r="D89" s="5"/>
      <c r="E89" s="5"/>
      <c r="F89" s="5"/>
    </row>
    <row r="90" spans="1:6" x14ac:dyDescent="0.15">
      <c r="A90" s="5" t="s">
        <v>85</v>
      </c>
      <c r="B90" s="11">
        <v>0.32061299999999998</v>
      </c>
      <c r="C90" s="11">
        <v>0.28309400000000001</v>
      </c>
      <c r="D90" s="11">
        <v>9.7182000000000004E-2</v>
      </c>
      <c r="E90" s="11">
        <v>-1.1978000000000001E-2</v>
      </c>
      <c r="F90" s="11">
        <v>-1.8690999999999999E-2</v>
      </c>
    </row>
    <row r="91" spans="1:6" x14ac:dyDescent="0.15">
      <c r="A91" s="5" t="s">
        <v>83</v>
      </c>
      <c r="B91" s="11">
        <v>0.26094099999999998</v>
      </c>
      <c r="C91" s="11">
        <v>0.13972999999999999</v>
      </c>
      <c r="D91" s="11">
        <v>2.8767999999999998E-2</v>
      </c>
      <c r="E91" s="11">
        <v>3.3639000000000002E-2</v>
      </c>
      <c r="F91" s="11">
        <v>1.8248E-2</v>
      </c>
    </row>
    <row r="92" spans="1:6" x14ac:dyDescent="0.15">
      <c r="A92" s="5" t="s">
        <v>216</v>
      </c>
      <c r="B92" s="11">
        <v>0.36581399999999997</v>
      </c>
      <c r="C92" s="11">
        <v>-0.20021800000000001</v>
      </c>
      <c r="D92" s="11">
        <v>-0.187694</v>
      </c>
      <c r="E92" s="11">
        <v>0.27445199999999997</v>
      </c>
      <c r="F92" s="11">
        <v>8.8591000000000003E-2</v>
      </c>
    </row>
    <row r="93" spans="1:6" x14ac:dyDescent="0.15">
      <c r="A93" s="5" t="s">
        <v>215</v>
      </c>
      <c r="B93" s="11">
        <v>0.46154000000000001</v>
      </c>
      <c r="C93" s="11">
        <v>-0.372728</v>
      </c>
      <c r="D93" s="11">
        <v>-0.28839399999999998</v>
      </c>
      <c r="E93" s="11">
        <v>0.45799800000000002</v>
      </c>
      <c r="F93" s="11">
        <v>9.9578E-2</v>
      </c>
    </row>
    <row r="94" spans="1:6" x14ac:dyDescent="0.15">
      <c r="A94" s="5" t="s">
        <v>214</v>
      </c>
      <c r="B94" s="11">
        <v>0.46079700000000001</v>
      </c>
      <c r="C94" s="11">
        <v>-0.37383899999999998</v>
      </c>
      <c r="D94" s="11">
        <v>-0.28803200000000001</v>
      </c>
      <c r="E94" s="11">
        <v>0.459706</v>
      </c>
      <c r="F94" s="11">
        <v>9.7364999999999993E-2</v>
      </c>
    </row>
    <row r="95" spans="1:6" x14ac:dyDescent="0.15">
      <c r="A95" s="5" t="s">
        <v>58</v>
      </c>
      <c r="B95" s="11">
        <v>0.439303</v>
      </c>
      <c r="C95" s="11">
        <v>-0.63633799999999996</v>
      </c>
      <c r="D95" s="11">
        <v>-0.408053</v>
      </c>
      <c r="E95" s="11">
        <v>1.2889889999999999</v>
      </c>
      <c r="F95" s="11">
        <v>-5.7935E-2</v>
      </c>
    </row>
    <row r="96" spans="1:6" x14ac:dyDescent="0.15">
      <c r="A96" s="5" t="s">
        <v>53</v>
      </c>
      <c r="B96" s="11">
        <v>0.439303</v>
      </c>
      <c r="C96" s="11">
        <v>-0.63633799999999996</v>
      </c>
      <c r="D96" s="11">
        <v>-0.408053</v>
      </c>
      <c r="E96" s="11">
        <v>1.2889889999999999</v>
      </c>
      <c r="F96" s="11">
        <v>-5.7935E-2</v>
      </c>
    </row>
    <row r="97" spans="1:6" x14ac:dyDescent="0.15">
      <c r="A97" s="5" t="s">
        <v>213</v>
      </c>
      <c r="B97" s="11">
        <v>0.45833200000000002</v>
      </c>
      <c r="C97" s="11">
        <v>-0.37867000000000001</v>
      </c>
      <c r="D97" s="11">
        <v>-0.286246</v>
      </c>
      <c r="E97" s="11">
        <v>0.53068899999999997</v>
      </c>
      <c r="F97" s="11">
        <v>0.13572200000000001</v>
      </c>
    </row>
    <row r="98" spans="1:6" x14ac:dyDescent="0.15">
      <c r="A98" s="5" t="s">
        <v>212</v>
      </c>
      <c r="B98" s="11">
        <v>0.40914200000000001</v>
      </c>
      <c r="C98" s="11">
        <v>-0.64258400000000004</v>
      </c>
      <c r="D98" s="11">
        <v>-0.40845700000000001</v>
      </c>
      <c r="E98" s="11">
        <v>1.3032189999999999</v>
      </c>
      <c r="F98" s="11">
        <v>-3.5039000000000001E-2</v>
      </c>
    </row>
    <row r="99" spans="1:6" x14ac:dyDescent="0.15">
      <c r="A99" s="5"/>
      <c r="B99" s="5"/>
      <c r="C99" s="5"/>
      <c r="D99" s="5"/>
      <c r="E99" s="5"/>
      <c r="F99" s="5"/>
    </row>
    <row r="100" spans="1:6" x14ac:dyDescent="0.15">
      <c r="A100" s="5" t="s">
        <v>211</v>
      </c>
      <c r="B100" s="11">
        <v>0.51647900000000002</v>
      </c>
      <c r="C100" s="11">
        <v>5.6629999999999996E-3</v>
      </c>
      <c r="D100" s="11">
        <v>-0.149562</v>
      </c>
      <c r="E100" s="11">
        <v>0.103467</v>
      </c>
      <c r="F100" s="11">
        <v>4.1072999999999998E-2</v>
      </c>
    </row>
    <row r="101" spans="1:6" x14ac:dyDescent="0.15">
      <c r="A101" s="5" t="s">
        <v>210</v>
      </c>
      <c r="B101" s="11">
        <v>0.36510599999999999</v>
      </c>
      <c r="C101" s="11">
        <v>0.185862</v>
      </c>
      <c r="D101" s="11">
        <v>6.4887E-2</v>
      </c>
      <c r="E101" s="11">
        <v>-0.11887300000000001</v>
      </c>
      <c r="F101" s="11">
        <v>-0.111622</v>
      </c>
    </row>
    <row r="102" spans="1:6" x14ac:dyDescent="0.15">
      <c r="A102" s="5" t="s">
        <v>209</v>
      </c>
      <c r="B102" s="11">
        <v>0.322328</v>
      </c>
      <c r="C102" s="11">
        <v>9.8354999999999998E-2</v>
      </c>
      <c r="D102" s="11">
        <v>2.1850999999999999E-2</v>
      </c>
      <c r="E102" s="11">
        <v>-2.7927E-2</v>
      </c>
      <c r="F102" s="11">
        <v>-4.8676999999999998E-2</v>
      </c>
    </row>
    <row r="103" spans="1:6" x14ac:dyDescent="0.15">
      <c r="A103" s="5" t="s">
        <v>208</v>
      </c>
      <c r="B103" s="11">
        <v>0.46796300000000002</v>
      </c>
      <c r="C103" s="11">
        <v>0.14702399999999999</v>
      </c>
      <c r="D103" s="11">
        <v>1.5098E-2</v>
      </c>
      <c r="E103" s="11">
        <v>1.5459000000000001E-2</v>
      </c>
      <c r="F103" s="11">
        <v>-6.2015000000000001E-2</v>
      </c>
    </row>
    <row r="104" spans="1:6" x14ac:dyDescent="0.15">
      <c r="A104" s="5"/>
      <c r="B104" s="5"/>
      <c r="C104" s="5"/>
      <c r="D104" s="5"/>
      <c r="E104" s="5"/>
      <c r="F104" s="5"/>
    </row>
    <row r="105" spans="1:6" x14ac:dyDescent="0.15">
      <c r="A105" s="5" t="s">
        <v>207</v>
      </c>
      <c r="B105" s="11">
        <v>0.27638400000000002</v>
      </c>
      <c r="C105" s="11">
        <v>0.21601899999999999</v>
      </c>
      <c r="D105" s="11">
        <v>8.9937000000000003E-2</v>
      </c>
      <c r="E105" s="11">
        <v>8.6551000000000003E-2</v>
      </c>
      <c r="F105" s="11">
        <v>-5.4024999999999997E-2</v>
      </c>
    </row>
    <row r="106" spans="1:6" x14ac:dyDescent="0.15">
      <c r="A106" s="5" t="s">
        <v>206</v>
      </c>
      <c r="B106" s="11">
        <v>0.44185000000000002</v>
      </c>
      <c r="C106" s="11">
        <v>0.15620700000000001</v>
      </c>
      <c r="D106" s="11">
        <v>5.6691999999999999E-2</v>
      </c>
      <c r="E106" s="11">
        <v>4.6954999999999997E-2</v>
      </c>
      <c r="F106" s="11">
        <v>-7.4035000000000004E-2</v>
      </c>
    </row>
    <row r="107" spans="1:6" x14ac:dyDescent="0.15">
      <c r="A107" s="5" t="s">
        <v>205</v>
      </c>
      <c r="B107" s="11">
        <v>0.245147</v>
      </c>
      <c r="C107" s="11">
        <v>-0.43799900000000003</v>
      </c>
      <c r="D107" s="11">
        <v>-0.11172799999999999</v>
      </c>
      <c r="E107" s="11">
        <v>1.170221</v>
      </c>
      <c r="F107" s="11">
        <v>0.115707</v>
      </c>
    </row>
    <row r="108" spans="1:6" x14ac:dyDescent="0.15">
      <c r="A108" s="5" t="s">
        <v>204</v>
      </c>
      <c r="B108" s="11">
        <v>0.58879499999999996</v>
      </c>
      <c r="C108" s="11">
        <v>0.25958399999999998</v>
      </c>
      <c r="D108" s="11">
        <v>-0.19561700000000001</v>
      </c>
      <c r="E108" s="11">
        <v>-0.341777</v>
      </c>
      <c r="F108" s="11">
        <v>-8.2352999999999996E-2</v>
      </c>
    </row>
    <row r="109" spans="1:6" ht="12" x14ac:dyDescent="0.15">
      <c r="A109" s="5" t="s">
        <v>203</v>
      </c>
      <c r="B109" s="11">
        <v>0.15265899999999999</v>
      </c>
      <c r="C109" s="11" t="s">
        <v>30</v>
      </c>
      <c r="D109" s="11">
        <v>6.9188E-2</v>
      </c>
      <c r="E109" s="11" t="s">
        <v>30</v>
      </c>
      <c r="F109" s="11">
        <v>0.13389799999999999</v>
      </c>
    </row>
    <row r="110" spans="1:6" ht="12" x14ac:dyDescent="0.15">
      <c r="A110" s="5" t="s">
        <v>202</v>
      </c>
      <c r="B110" s="11">
        <v>0.15335399999999999</v>
      </c>
      <c r="C110" s="11" t="s">
        <v>30</v>
      </c>
      <c r="D110" s="11">
        <v>6.8543000000000007E-2</v>
      </c>
      <c r="E110" s="11" t="s">
        <v>30</v>
      </c>
      <c r="F110" s="11">
        <v>0.13389799999999999</v>
      </c>
    </row>
    <row r="111" spans="1:6" ht="12" x14ac:dyDescent="0.15">
      <c r="A111" s="5" t="s">
        <v>201</v>
      </c>
      <c r="B111" s="9" t="s">
        <v>9</v>
      </c>
      <c r="C111" s="9" t="s">
        <v>9</v>
      </c>
      <c r="D111" s="9" t="s">
        <v>9</v>
      </c>
      <c r="E111" s="9" t="s">
        <v>9</v>
      </c>
      <c r="F111" s="9" t="s">
        <v>9</v>
      </c>
    </row>
    <row r="112" spans="1:6" x14ac:dyDescent="0.15">
      <c r="A112" s="5"/>
      <c r="B112" s="5"/>
      <c r="C112" s="5"/>
      <c r="D112" s="5"/>
      <c r="E112" s="5"/>
      <c r="F112" s="5"/>
    </row>
    <row r="113" spans="1:6" x14ac:dyDescent="0.15">
      <c r="A113" s="7" t="s">
        <v>218</v>
      </c>
      <c r="B113" s="5"/>
      <c r="C113" s="5"/>
      <c r="D113" s="5"/>
      <c r="E113" s="5"/>
      <c r="F113" s="5"/>
    </row>
    <row r="114" spans="1:6" x14ac:dyDescent="0.15">
      <c r="A114" s="5" t="s">
        <v>85</v>
      </c>
      <c r="B114" s="11">
        <v>0.26245800000000002</v>
      </c>
      <c r="C114" s="11">
        <v>0.273756</v>
      </c>
      <c r="D114" s="11">
        <v>0.18701300000000001</v>
      </c>
      <c r="E114" s="11">
        <v>4.9737000000000003E-2</v>
      </c>
      <c r="F114" s="11">
        <v>-7.2940000000000001E-3</v>
      </c>
    </row>
    <row r="115" spans="1:6" x14ac:dyDescent="0.15">
      <c r="A115" s="5" t="s">
        <v>83</v>
      </c>
      <c r="B115" s="11">
        <v>0.218754</v>
      </c>
      <c r="C115" s="11">
        <v>0.15914500000000001</v>
      </c>
      <c r="D115" s="11">
        <v>0.11962200000000001</v>
      </c>
      <c r="E115" s="11">
        <v>1.5284000000000001E-2</v>
      </c>
      <c r="F115" s="11">
        <v>3.8578000000000001E-2</v>
      </c>
    </row>
    <row r="116" spans="1:6" x14ac:dyDescent="0.15">
      <c r="A116" s="5" t="s">
        <v>216</v>
      </c>
      <c r="B116" s="11">
        <v>0.22887099999999999</v>
      </c>
      <c r="C116" s="11">
        <v>-8.4556000000000006E-2</v>
      </c>
      <c r="D116" s="11">
        <v>8.6890000000000005E-3</v>
      </c>
      <c r="E116" s="11">
        <v>-0.12584899999999999</v>
      </c>
      <c r="F116" s="11">
        <v>0.23885100000000001</v>
      </c>
    </row>
    <row r="117" spans="1:6" x14ac:dyDescent="0.15">
      <c r="A117" s="5" t="s">
        <v>215</v>
      </c>
      <c r="B117" s="11">
        <v>0.28205999999999998</v>
      </c>
      <c r="C117" s="11">
        <v>-0.21013000000000001</v>
      </c>
      <c r="D117" s="11">
        <v>-4.7682000000000002E-2</v>
      </c>
      <c r="E117" s="11">
        <v>-0.21140700000000001</v>
      </c>
      <c r="F117" s="11">
        <v>0.38450699999999999</v>
      </c>
    </row>
    <row r="118" spans="1:6" x14ac:dyDescent="0.15">
      <c r="A118" s="5" t="s">
        <v>214</v>
      </c>
      <c r="B118" s="11">
        <v>0.28162500000000001</v>
      </c>
      <c r="C118" s="11">
        <v>-0.21129200000000001</v>
      </c>
      <c r="D118" s="11">
        <v>-4.7405999999999997E-2</v>
      </c>
      <c r="E118" s="11">
        <v>-0.21168400000000001</v>
      </c>
      <c r="F118" s="11">
        <v>0.384685</v>
      </c>
    </row>
    <row r="119" spans="1:6" x14ac:dyDescent="0.15">
      <c r="A119" s="5" t="s">
        <v>58</v>
      </c>
      <c r="B119" s="11">
        <v>0.24677099999999999</v>
      </c>
      <c r="C119" s="11">
        <v>-0.46047100000000002</v>
      </c>
      <c r="D119" s="11">
        <v>-0.15132699999999999</v>
      </c>
      <c r="E119" s="11">
        <v>-0.26490599999999997</v>
      </c>
      <c r="F119" s="11">
        <v>0.60076799999999997</v>
      </c>
    </row>
    <row r="120" spans="1:6" x14ac:dyDescent="0.15">
      <c r="A120" s="5" t="s">
        <v>53</v>
      </c>
      <c r="B120" s="11">
        <v>0.24677099999999999</v>
      </c>
      <c r="C120" s="11">
        <v>-0.46047100000000002</v>
      </c>
      <c r="D120" s="11">
        <v>-0.15132699999999999</v>
      </c>
      <c r="E120" s="11">
        <v>-0.26490599999999997</v>
      </c>
      <c r="F120" s="11">
        <v>0.60076799999999997</v>
      </c>
    </row>
    <row r="121" spans="1:6" x14ac:dyDescent="0.15">
      <c r="A121" s="5" t="s">
        <v>213</v>
      </c>
      <c r="B121" s="11">
        <v>0.27998000000000001</v>
      </c>
      <c r="C121" s="11">
        <v>-0.21723300000000001</v>
      </c>
      <c r="D121" s="11">
        <v>-4.4599E-2</v>
      </c>
      <c r="E121" s="11">
        <v>-0.19155</v>
      </c>
      <c r="F121" s="11">
        <v>0.42829699999999998</v>
      </c>
    </row>
    <row r="122" spans="1:6" x14ac:dyDescent="0.15">
      <c r="A122" s="5" t="s">
        <v>212</v>
      </c>
      <c r="B122" s="11">
        <v>0.24303900000000001</v>
      </c>
      <c r="C122" s="11">
        <v>-0.46916400000000003</v>
      </c>
      <c r="D122" s="11">
        <v>-0.15967100000000001</v>
      </c>
      <c r="E122" s="11">
        <v>-0.263428</v>
      </c>
      <c r="F122" s="11">
        <v>0.62931800000000004</v>
      </c>
    </row>
    <row r="123" spans="1:6" x14ac:dyDescent="0.15">
      <c r="A123" s="5"/>
      <c r="B123" s="5"/>
      <c r="C123" s="5"/>
      <c r="D123" s="5"/>
      <c r="E123" s="5"/>
      <c r="F123" s="5"/>
    </row>
    <row r="124" spans="1:6" x14ac:dyDescent="0.15">
      <c r="A124" s="5" t="s">
        <v>211</v>
      </c>
      <c r="B124" s="11">
        <v>0.32416099999999998</v>
      </c>
      <c r="C124" s="11">
        <v>0.173209</v>
      </c>
      <c r="D124" s="11">
        <v>1.3707E-2</v>
      </c>
      <c r="E124" s="11">
        <v>-5.0874000000000003E-2</v>
      </c>
      <c r="F124" s="11">
        <v>3.7365000000000002E-2</v>
      </c>
    </row>
    <row r="125" spans="1:6" x14ac:dyDescent="0.15">
      <c r="A125" s="5" t="s">
        <v>210</v>
      </c>
      <c r="B125" s="11">
        <v>0.37234</v>
      </c>
      <c r="C125" s="11">
        <v>0.28517799999999999</v>
      </c>
      <c r="D125" s="11">
        <v>0.11868099999999999</v>
      </c>
      <c r="E125" s="11">
        <v>-4.0132000000000001E-2</v>
      </c>
      <c r="F125" s="11">
        <v>-7.7255000000000004E-2</v>
      </c>
    </row>
    <row r="126" spans="1:6" x14ac:dyDescent="0.15">
      <c r="A126" s="5" t="s">
        <v>209</v>
      </c>
      <c r="B126" s="11">
        <v>0.21046799999999999</v>
      </c>
      <c r="C126" s="11">
        <v>0.22559999999999999</v>
      </c>
      <c r="D126" s="11">
        <v>6.1608000000000003E-2</v>
      </c>
      <c r="E126" s="11">
        <v>-1.714E-3</v>
      </c>
      <c r="F126" s="11">
        <v>-3.5383999999999999E-2</v>
      </c>
    </row>
    <row r="127" spans="1:6" x14ac:dyDescent="0.15">
      <c r="A127" s="5" t="s">
        <v>208</v>
      </c>
      <c r="B127" s="11">
        <v>0.34268300000000002</v>
      </c>
      <c r="C127" s="11">
        <v>0.294126</v>
      </c>
      <c r="D127" s="11">
        <v>0.104639</v>
      </c>
      <c r="E127" s="11">
        <v>1.222E-2</v>
      </c>
      <c r="F127" s="11">
        <v>-3.4018E-2</v>
      </c>
    </row>
    <row r="128" spans="1:6" x14ac:dyDescent="0.15">
      <c r="A128" s="5"/>
      <c r="B128" s="5"/>
      <c r="C128" s="5"/>
      <c r="D128" s="5"/>
      <c r="E128" s="5"/>
      <c r="F128" s="5"/>
    </row>
    <row r="129" spans="1:6" x14ac:dyDescent="0.15">
      <c r="A129" s="5" t="s">
        <v>207</v>
      </c>
      <c r="B129" s="11">
        <v>0.21015200000000001</v>
      </c>
      <c r="C129" s="11">
        <v>0.190641</v>
      </c>
      <c r="D129" s="11">
        <v>0.19243399999999999</v>
      </c>
      <c r="E129" s="11">
        <v>6.9449999999999998E-2</v>
      </c>
      <c r="F129" s="11">
        <v>8.6189999999999999E-3</v>
      </c>
    </row>
    <row r="130" spans="1:6" x14ac:dyDescent="0.15">
      <c r="A130" s="5" t="s">
        <v>206</v>
      </c>
      <c r="B130" s="11">
        <v>0.31222</v>
      </c>
      <c r="C130" s="11">
        <v>0.28793000000000002</v>
      </c>
      <c r="D130" s="11">
        <v>0.13251499999999999</v>
      </c>
      <c r="E130" s="11">
        <v>4.0473000000000002E-2</v>
      </c>
      <c r="F130" s="11">
        <v>-2.3326E-2</v>
      </c>
    </row>
    <row r="131" spans="1:6" x14ac:dyDescent="0.15">
      <c r="A131" s="5" t="s">
        <v>205</v>
      </c>
      <c r="B131" s="11">
        <v>0.23058699999999999</v>
      </c>
      <c r="C131" s="11">
        <v>-0.29902499999999999</v>
      </c>
      <c r="D131" s="11">
        <v>3.9043000000000001E-2</v>
      </c>
      <c r="E131" s="11">
        <v>1.5214999999999999E-2</v>
      </c>
      <c r="F131" s="11">
        <v>0.64125200000000004</v>
      </c>
    </row>
    <row r="132" spans="1:6" x14ac:dyDescent="0.15">
      <c r="A132" s="5" t="s">
        <v>204</v>
      </c>
      <c r="B132" s="11">
        <v>0.61904000000000003</v>
      </c>
      <c r="C132" s="11">
        <v>0.38680300000000001</v>
      </c>
      <c r="D132" s="11">
        <v>-9.5700000000000004E-3</v>
      </c>
      <c r="E132" s="11">
        <v>-0.229301</v>
      </c>
      <c r="F132" s="11">
        <v>-0.19809499999999999</v>
      </c>
    </row>
    <row r="133" spans="1:6" ht="12" x14ac:dyDescent="0.15">
      <c r="A133" s="5" t="s">
        <v>203</v>
      </c>
      <c r="B133" s="11">
        <v>1.4419E-2</v>
      </c>
      <c r="C133" s="11" t="s">
        <v>30</v>
      </c>
      <c r="D133" s="11">
        <v>0.23802899999999999</v>
      </c>
      <c r="E133" s="11">
        <v>0.20766799999999999</v>
      </c>
      <c r="F133" s="11" t="s">
        <v>30</v>
      </c>
    </row>
    <row r="134" spans="1:6" ht="12" x14ac:dyDescent="0.15">
      <c r="A134" s="5" t="s">
        <v>202</v>
      </c>
      <c r="B134" s="11">
        <v>1.4827E-2</v>
      </c>
      <c r="C134" s="11" t="s">
        <v>30</v>
      </c>
      <c r="D134" s="11">
        <v>0.23802899999999999</v>
      </c>
      <c r="E134" s="11">
        <v>0.20718300000000001</v>
      </c>
      <c r="F134" s="11" t="s">
        <v>30</v>
      </c>
    </row>
    <row r="135" spans="1:6" ht="12" x14ac:dyDescent="0.15">
      <c r="A135" s="5" t="s">
        <v>201</v>
      </c>
      <c r="B135" s="9" t="s">
        <v>9</v>
      </c>
      <c r="C135" s="9" t="s">
        <v>9</v>
      </c>
      <c r="D135" s="9" t="s">
        <v>9</v>
      </c>
      <c r="E135" s="9" t="s">
        <v>9</v>
      </c>
      <c r="F135" s="9" t="s">
        <v>9</v>
      </c>
    </row>
    <row r="136" spans="1:6" x14ac:dyDescent="0.15">
      <c r="A136" s="5"/>
      <c r="B136" s="5"/>
      <c r="C136" s="5"/>
      <c r="D136" s="5"/>
      <c r="E136" s="5"/>
      <c r="F136" s="5"/>
    </row>
    <row r="137" spans="1:6" x14ac:dyDescent="0.15">
      <c r="A137" s="7" t="s">
        <v>217</v>
      </c>
      <c r="B137" s="5"/>
      <c r="C137" s="5"/>
      <c r="D137" s="5"/>
      <c r="E137" s="5"/>
      <c r="F137" s="5"/>
    </row>
    <row r="138" spans="1:6" x14ac:dyDescent="0.15">
      <c r="A138" s="5" t="s">
        <v>85</v>
      </c>
      <c r="B138" s="11">
        <v>0.125857</v>
      </c>
      <c r="C138" s="11">
        <v>0.17816100000000001</v>
      </c>
      <c r="D138" s="11">
        <v>0.193553</v>
      </c>
      <c r="E138" s="11">
        <v>0.15068999999999999</v>
      </c>
      <c r="F138" s="11">
        <v>0.100008</v>
      </c>
    </row>
    <row r="139" spans="1:6" x14ac:dyDescent="0.15">
      <c r="A139" s="5" t="s">
        <v>83</v>
      </c>
      <c r="B139" s="11">
        <v>0.10179000000000001</v>
      </c>
      <c r="C139" s="11">
        <v>0.116577</v>
      </c>
      <c r="D139" s="11">
        <v>0.138876</v>
      </c>
      <c r="E139" s="11">
        <v>0.107211</v>
      </c>
      <c r="F139" s="11">
        <v>7.7913999999999997E-2</v>
      </c>
    </row>
    <row r="140" spans="1:6" x14ac:dyDescent="0.15">
      <c r="A140" s="5" t="s">
        <v>216</v>
      </c>
      <c r="B140" s="11">
        <v>9.5389000000000002E-2</v>
      </c>
      <c r="C140" s="11">
        <v>-7.1162000000000003E-2</v>
      </c>
      <c r="D140" s="11">
        <v>4.1338E-2</v>
      </c>
      <c r="E140" s="11">
        <v>4.4981E-2</v>
      </c>
      <c r="F140" s="11">
        <v>3.9920999999999998E-2</v>
      </c>
    </row>
    <row r="141" spans="1:6" x14ac:dyDescent="0.15">
      <c r="A141" s="5" t="s">
        <v>215</v>
      </c>
      <c r="B141" s="11">
        <v>9.7359000000000001E-2</v>
      </c>
      <c r="C141" s="11">
        <v>-0.160133</v>
      </c>
      <c r="D141" s="11">
        <v>1.3073E-2</v>
      </c>
      <c r="E141" s="11">
        <v>9.3369999999999998E-3</v>
      </c>
      <c r="F141" s="11">
        <v>8.6940000000000003E-3</v>
      </c>
    </row>
    <row r="142" spans="1:6" x14ac:dyDescent="0.15">
      <c r="A142" s="5" t="s">
        <v>214</v>
      </c>
      <c r="B142" s="11">
        <v>9.7136E-2</v>
      </c>
      <c r="C142" s="11">
        <v>-0.16087399999999999</v>
      </c>
      <c r="D142" s="11">
        <v>1.3073E-2</v>
      </c>
      <c r="E142" s="11">
        <v>8.9180000000000006E-3</v>
      </c>
      <c r="F142" s="11">
        <v>8.0569999999999999E-3</v>
      </c>
    </row>
    <row r="143" spans="1:6" x14ac:dyDescent="0.15">
      <c r="A143" s="5" t="s">
        <v>58</v>
      </c>
      <c r="B143" s="11">
        <v>0.142959</v>
      </c>
      <c r="C143" s="11">
        <v>-0.30122300000000002</v>
      </c>
      <c r="D143" s="11">
        <v>-7.4481000000000006E-2</v>
      </c>
      <c r="E143" s="11">
        <v>-3.8240000000000003E-2</v>
      </c>
      <c r="F143" s="11">
        <v>-0.115136</v>
      </c>
    </row>
    <row r="144" spans="1:6" x14ac:dyDescent="0.15">
      <c r="A144" s="5" t="s">
        <v>53</v>
      </c>
      <c r="B144" s="11">
        <v>0.142959</v>
      </c>
      <c r="C144" s="11">
        <v>-0.30122300000000002</v>
      </c>
      <c r="D144" s="11">
        <v>-7.4481000000000006E-2</v>
      </c>
      <c r="E144" s="11">
        <v>-3.8240000000000003E-2</v>
      </c>
      <c r="F144" s="11">
        <v>-0.115136</v>
      </c>
    </row>
    <row r="145" spans="1:6" x14ac:dyDescent="0.15">
      <c r="A145" s="5" t="s">
        <v>213</v>
      </c>
      <c r="B145" s="11">
        <v>9.8796999999999996E-2</v>
      </c>
      <c r="C145" s="11">
        <v>-0.163436</v>
      </c>
      <c r="D145" s="11">
        <v>1.3308E-2</v>
      </c>
      <c r="E145" s="11">
        <v>2.3609999999999999E-2</v>
      </c>
      <c r="F145" s="11">
        <v>2.3812E-2</v>
      </c>
    </row>
    <row r="146" spans="1:6" x14ac:dyDescent="0.15">
      <c r="A146" s="5" t="s">
        <v>212</v>
      </c>
      <c r="B146" s="11">
        <v>0.164768</v>
      </c>
      <c r="C146" s="11">
        <v>-0.29652400000000001</v>
      </c>
      <c r="D146" s="11">
        <v>-7.6396000000000006E-2</v>
      </c>
      <c r="E146" s="11">
        <v>-4.5203E-2</v>
      </c>
      <c r="F146" s="11">
        <v>-0.111876</v>
      </c>
    </row>
    <row r="147" spans="1:6" x14ac:dyDescent="0.15">
      <c r="A147" s="5"/>
      <c r="B147" s="5"/>
      <c r="C147" s="5"/>
      <c r="D147" s="5"/>
      <c r="E147" s="5"/>
      <c r="F147" s="5"/>
    </row>
    <row r="148" spans="1:6" x14ac:dyDescent="0.15">
      <c r="A148" s="5" t="s">
        <v>211</v>
      </c>
      <c r="B148" s="11">
        <v>0.14984500000000001</v>
      </c>
      <c r="C148" s="11">
        <v>8.4397E-2</v>
      </c>
      <c r="D148" s="11">
        <v>0.10922999999999999</v>
      </c>
      <c r="E148" s="11">
        <v>0.14479800000000001</v>
      </c>
      <c r="F148" s="11">
        <v>2.4566000000000001E-2</v>
      </c>
    </row>
    <row r="149" spans="1:6" x14ac:dyDescent="0.15">
      <c r="A149" s="5" t="s">
        <v>210</v>
      </c>
      <c r="B149" s="11">
        <v>0.18315899999999999</v>
      </c>
      <c r="C149" s="11">
        <v>0.232185</v>
      </c>
      <c r="D149" s="11">
        <v>0.23993400000000001</v>
      </c>
      <c r="E149" s="11">
        <v>0.10507900000000001</v>
      </c>
      <c r="F149" s="11">
        <v>2.0147000000000002E-2</v>
      </c>
    </row>
    <row r="150" spans="1:6" x14ac:dyDescent="0.15">
      <c r="A150" s="5" t="s">
        <v>209</v>
      </c>
      <c r="B150" s="11">
        <v>0.107033</v>
      </c>
      <c r="C150" s="11">
        <v>0.119324</v>
      </c>
      <c r="D150" s="11">
        <v>0.13116800000000001</v>
      </c>
      <c r="E150" s="11">
        <v>0.117091</v>
      </c>
      <c r="F150" s="11">
        <v>1.6038E-2</v>
      </c>
    </row>
    <row r="151" spans="1:6" x14ac:dyDescent="0.15">
      <c r="A151" s="5" t="s">
        <v>208</v>
      </c>
      <c r="B151" s="11">
        <v>0.16395499999999999</v>
      </c>
      <c r="C151" s="11">
        <v>0.176233</v>
      </c>
      <c r="D151" s="11">
        <v>0.200569</v>
      </c>
      <c r="E151" s="11">
        <v>0.17449500000000001</v>
      </c>
      <c r="F151" s="11">
        <v>3.4689999999999999E-2</v>
      </c>
    </row>
    <row r="152" spans="1:6" x14ac:dyDescent="0.15">
      <c r="A152" s="5"/>
      <c r="B152" s="5"/>
      <c r="C152" s="5"/>
      <c r="D152" s="5"/>
      <c r="E152" s="5"/>
      <c r="F152" s="5"/>
    </row>
    <row r="153" spans="1:6" x14ac:dyDescent="0.15">
      <c r="A153" s="5" t="s">
        <v>207</v>
      </c>
      <c r="B153" s="11">
        <v>0.10108399999999999</v>
      </c>
      <c r="C153" s="11">
        <v>0.117157</v>
      </c>
      <c r="D153" s="11">
        <v>0.160552</v>
      </c>
      <c r="E153" s="11">
        <v>0.14785999999999999</v>
      </c>
      <c r="F153" s="11">
        <v>8.6957000000000007E-2</v>
      </c>
    </row>
    <row r="154" spans="1:6" x14ac:dyDescent="0.15">
      <c r="A154" s="5" t="s">
        <v>206</v>
      </c>
      <c r="B154" s="11">
        <v>0.15717100000000001</v>
      </c>
      <c r="C154" s="11">
        <v>0.17102600000000001</v>
      </c>
      <c r="D154" s="11">
        <v>0.20332700000000001</v>
      </c>
      <c r="E154" s="11">
        <v>0.18551400000000001</v>
      </c>
      <c r="F154" s="11">
        <v>4.4874999999999998E-2</v>
      </c>
    </row>
    <row r="155" spans="1:6" x14ac:dyDescent="0.15">
      <c r="A155" s="5" t="s">
        <v>205</v>
      </c>
      <c r="B155" s="11">
        <v>8.4798999999999999E-2</v>
      </c>
      <c r="C155" s="11">
        <v>-0.182503</v>
      </c>
      <c r="D155" s="11">
        <v>8.0154000000000003E-2</v>
      </c>
      <c r="E155" s="11">
        <v>0.10159799999999999</v>
      </c>
      <c r="F155" s="11">
        <v>6.9055000000000005E-2</v>
      </c>
    </row>
    <row r="156" spans="1:6" x14ac:dyDescent="0.15">
      <c r="A156" s="5" t="s">
        <v>204</v>
      </c>
      <c r="B156" s="11">
        <v>0.13542299999999999</v>
      </c>
      <c r="C156" s="11">
        <v>0.24268799999999999</v>
      </c>
      <c r="D156" s="11">
        <v>0.223883</v>
      </c>
      <c r="E156" s="11">
        <v>2.9337999999999999E-2</v>
      </c>
      <c r="F156" s="11">
        <v>-3.9350999999999997E-2</v>
      </c>
    </row>
    <row r="157" spans="1:6" ht="12" x14ac:dyDescent="0.15">
      <c r="A157" s="5" t="s">
        <v>203</v>
      </c>
      <c r="B157" s="11">
        <v>6.3877000000000003E-2</v>
      </c>
      <c r="C157" s="11" t="s">
        <v>30</v>
      </c>
      <c r="D157" s="11">
        <v>3.5982E-2</v>
      </c>
      <c r="E157" s="11">
        <v>0.18535599999999999</v>
      </c>
      <c r="F157" s="11">
        <v>0.19527600000000001</v>
      </c>
    </row>
    <row r="158" spans="1:6" ht="12" x14ac:dyDescent="0.15">
      <c r="A158" s="5" t="s">
        <v>202</v>
      </c>
      <c r="B158" s="11">
        <v>6.4133999999999997E-2</v>
      </c>
      <c r="C158" s="11" t="s">
        <v>30</v>
      </c>
      <c r="D158" s="11">
        <v>3.5982E-2</v>
      </c>
      <c r="E158" s="11">
        <v>0.18535599999999999</v>
      </c>
      <c r="F158" s="11">
        <v>0.19527600000000001</v>
      </c>
    </row>
    <row r="159" spans="1:6" ht="12" x14ac:dyDescent="0.15">
      <c r="A159" s="5" t="s">
        <v>201</v>
      </c>
      <c r="B159" s="9" t="s">
        <v>9</v>
      </c>
      <c r="C159" s="9" t="s">
        <v>9</v>
      </c>
      <c r="D159" s="9" t="s">
        <v>9</v>
      </c>
      <c r="E159" s="9" t="s">
        <v>9</v>
      </c>
      <c r="F159" s="9" t="s">
        <v>9</v>
      </c>
    </row>
    <row r="160" spans="1:6" x14ac:dyDescent="0.15">
      <c r="A160" s="5"/>
      <c r="B160" s="5"/>
      <c r="C160" s="5"/>
      <c r="D160" s="5"/>
      <c r="E160" s="5"/>
      <c r="F160" s="5"/>
    </row>
    <row r="161" spans="1:6" ht="72" x14ac:dyDescent="0.15">
      <c r="A161" s="35" t="s">
        <v>0</v>
      </c>
      <c r="B161" s="3"/>
      <c r="C161" s="3"/>
      <c r="D161" s="3"/>
      <c r="E161" s="3"/>
      <c r="F161" s="3"/>
    </row>
  </sheetData>
  <pageMargins left="0.2" right="0.2" top="0.5" bottom="0.5" header="0.5" footer="0.5"/>
  <pageSetup fitToWidth="0" fitToHeight="0" orientation="landscape" horizontalDpi="0" verticalDpi="0"/>
  <headerFooter alignWithMargins="0"/>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A15B2-1963-0148-9AEB-60686176E019}">
  <sheetPr>
    <outlinePr summaryBelow="0" summaryRight="0"/>
    <pageSetUpPr autoPageBreaks="0"/>
  </sheetPr>
  <dimension ref="A5:IU161"/>
  <sheetViews>
    <sheetView topLeftCell="A32" zoomScale="136" workbookViewId="0">
      <selection activeCell="A50" sqref="A50"/>
    </sheetView>
  </sheetViews>
  <sheetFormatPr baseColWidth="10" defaultRowHeight="11" x14ac:dyDescent="0.15"/>
  <cols>
    <col min="1" max="1" width="45.83203125" style="1" customWidth="1"/>
    <col min="2" max="6" width="14.83203125" style="1" customWidth="1"/>
    <col min="7" max="256" width="8.83203125" style="1" customWidth="1"/>
    <col min="257" max="16384" width="10.83203125" style="1"/>
  </cols>
  <sheetData>
    <row r="5" spans="1:255" ht="17" x14ac:dyDescent="0.2">
      <c r="A5" s="23" t="s">
        <v>487</v>
      </c>
    </row>
    <row r="7" spans="1:255" x14ac:dyDescent="0.15">
      <c r="A7" s="5"/>
      <c r="B7" s="20" t="s">
        <v>114</v>
      </c>
      <c r="C7" s="1" t="s">
        <v>113</v>
      </c>
      <c r="D7" s="5" t="s">
        <v>98</v>
      </c>
      <c r="E7" s="20" t="s">
        <v>112</v>
      </c>
      <c r="F7" s="1" t="s">
        <v>111</v>
      </c>
    </row>
    <row r="8" spans="1:255" x14ac:dyDescent="0.15">
      <c r="A8" s="5"/>
      <c r="B8" s="20" t="s">
        <v>110</v>
      </c>
      <c r="C8" s="1" t="s">
        <v>109</v>
      </c>
      <c r="D8" s="5" t="s">
        <v>98</v>
      </c>
      <c r="E8" s="20" t="s">
        <v>102</v>
      </c>
      <c r="F8" s="21" t="s">
        <v>101</v>
      </c>
    </row>
    <row r="9" spans="1:255" x14ac:dyDescent="0.15">
      <c r="A9" s="5"/>
      <c r="B9" s="20" t="s">
        <v>100</v>
      </c>
      <c r="C9" s="1" t="s">
        <v>99</v>
      </c>
      <c r="D9" s="5" t="s">
        <v>98</v>
      </c>
      <c r="E9" s="19"/>
      <c r="F9" s="19"/>
    </row>
    <row r="12" spans="1:255" x14ac:dyDescent="0.15">
      <c r="A12" s="18" t="s">
        <v>261</v>
      </c>
      <c r="B12" s="18"/>
      <c r="C12" s="18"/>
      <c r="D12" s="18"/>
      <c r="E12" s="18"/>
      <c r="F12" s="18"/>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c r="IK12" s="17"/>
      <c r="IL12" s="17"/>
      <c r="IM12" s="17"/>
      <c r="IN12" s="17"/>
      <c r="IO12" s="17"/>
      <c r="IP12" s="17"/>
      <c r="IQ12" s="17"/>
      <c r="IR12" s="17"/>
      <c r="IS12" s="17"/>
      <c r="IT12" s="17"/>
      <c r="IU12" s="17"/>
    </row>
    <row r="13" spans="1:255" ht="24" x14ac:dyDescent="0.15">
      <c r="A13" s="27" t="s">
        <v>96</v>
      </c>
      <c r="B13" s="28">
        <v>2020</v>
      </c>
      <c r="C13" s="28">
        <v>2021</v>
      </c>
      <c r="D13" s="28">
        <v>2022</v>
      </c>
      <c r="E13" s="28">
        <v>2023</v>
      </c>
      <c r="F13" s="28">
        <v>2024</v>
      </c>
    </row>
    <row r="14" spans="1:255" x14ac:dyDescent="0.15">
      <c r="A14" s="7" t="s">
        <v>195</v>
      </c>
      <c r="B14" s="5"/>
      <c r="C14" s="5"/>
      <c r="D14" s="5"/>
      <c r="E14" s="5"/>
      <c r="F14" s="5"/>
    </row>
    <row r="15" spans="1:255" x14ac:dyDescent="0.15">
      <c r="A15" s="5" t="s">
        <v>260</v>
      </c>
      <c r="B15" s="11">
        <v>3.2674000000000002E-2</v>
      </c>
      <c r="C15" s="11">
        <v>3.9615999999999998E-2</v>
      </c>
      <c r="D15" s="11">
        <v>4.1835999999999998E-2</v>
      </c>
      <c r="E15" s="11">
        <v>4.1586999999999999E-2</v>
      </c>
      <c r="F15" s="11">
        <v>4.4738E-2</v>
      </c>
    </row>
    <row r="16" spans="1:255" x14ac:dyDescent="0.15">
      <c r="A16" s="5" t="s">
        <v>259</v>
      </c>
      <c r="B16" s="11">
        <v>4.1473000000000003E-2</v>
      </c>
      <c r="C16" s="11">
        <v>5.0923000000000003E-2</v>
      </c>
      <c r="D16" s="11">
        <v>5.4139E-2</v>
      </c>
      <c r="E16" s="11">
        <v>5.3587000000000003E-2</v>
      </c>
      <c r="F16" s="11">
        <v>5.7396000000000003E-2</v>
      </c>
    </row>
    <row r="17" spans="1:6" x14ac:dyDescent="0.15">
      <c r="A17" s="5" t="s">
        <v>258</v>
      </c>
      <c r="B17" s="11">
        <v>1.804E-3</v>
      </c>
      <c r="C17" s="11">
        <v>7.7544000000000002E-2</v>
      </c>
      <c r="D17" s="11">
        <v>9.2862E-2</v>
      </c>
      <c r="E17" s="11">
        <v>7.7883999999999995E-2</v>
      </c>
      <c r="F17" s="11">
        <v>8.1773999999999999E-2</v>
      </c>
    </row>
    <row r="18" spans="1:6" x14ac:dyDescent="0.15">
      <c r="A18" s="5" t="s">
        <v>257</v>
      </c>
      <c r="B18" s="11">
        <v>-9.0430000000000007E-3</v>
      </c>
      <c r="C18" s="11">
        <v>6.8328E-2</v>
      </c>
      <c r="D18" s="11">
        <v>8.4029999999999994E-2</v>
      </c>
      <c r="E18" s="11">
        <v>6.8806000000000006E-2</v>
      </c>
      <c r="F18" s="11">
        <v>7.3148000000000005E-2</v>
      </c>
    </row>
    <row r="19" spans="1:6" x14ac:dyDescent="0.15">
      <c r="A19" s="5"/>
      <c r="B19" s="5"/>
      <c r="C19" s="5"/>
      <c r="D19" s="5"/>
      <c r="E19" s="5"/>
      <c r="F19" s="5"/>
    </row>
    <row r="20" spans="1:6" x14ac:dyDescent="0.15">
      <c r="A20" s="7" t="s">
        <v>256</v>
      </c>
      <c r="B20" s="5"/>
      <c r="C20" s="5"/>
      <c r="D20" s="5"/>
      <c r="E20" s="5"/>
      <c r="F20" s="5"/>
    </row>
    <row r="21" spans="1:6" x14ac:dyDescent="0.15">
      <c r="A21" s="5" t="s">
        <v>255</v>
      </c>
      <c r="B21" s="11">
        <v>0.58119399999999999</v>
      </c>
      <c r="C21" s="11">
        <v>0.57467199999999996</v>
      </c>
      <c r="D21" s="11">
        <v>0.54478499999999996</v>
      </c>
      <c r="E21" s="11">
        <v>0.538632</v>
      </c>
      <c r="F21" s="11">
        <v>0.55253600000000003</v>
      </c>
    </row>
    <row r="22" spans="1:6" x14ac:dyDescent="0.15">
      <c r="A22" s="5" t="s">
        <v>254</v>
      </c>
      <c r="B22" s="11">
        <v>0.32957900000000001</v>
      </c>
      <c r="C22" s="11">
        <v>0.32498500000000002</v>
      </c>
      <c r="D22" s="11">
        <v>0.30505599999999999</v>
      </c>
      <c r="E22" s="11">
        <v>0.30756099999999997</v>
      </c>
      <c r="F22" s="11">
        <v>0.308342</v>
      </c>
    </row>
    <row r="23" spans="1:6" x14ac:dyDescent="0.15">
      <c r="A23" s="5" t="s">
        <v>253</v>
      </c>
      <c r="B23" s="11">
        <v>0.36119099999999998</v>
      </c>
      <c r="C23" s="11">
        <v>0.33502100000000001</v>
      </c>
      <c r="D23" s="11">
        <v>0.32333000000000001</v>
      </c>
      <c r="E23" s="11">
        <v>0.31584699999999999</v>
      </c>
      <c r="F23" s="11">
        <v>0.31978600000000001</v>
      </c>
    </row>
    <row r="24" spans="1:6" x14ac:dyDescent="0.15">
      <c r="A24" s="5" t="s">
        <v>252</v>
      </c>
      <c r="B24" s="11">
        <v>0.258185</v>
      </c>
      <c r="C24" s="11">
        <v>0.271011</v>
      </c>
      <c r="D24" s="11">
        <v>0.26058199999999998</v>
      </c>
      <c r="E24" s="11">
        <v>0.25417600000000001</v>
      </c>
      <c r="F24" s="11">
        <v>0.25866600000000001</v>
      </c>
    </row>
    <row r="25" spans="1:6" x14ac:dyDescent="0.15">
      <c r="A25" s="5" t="s">
        <v>251</v>
      </c>
      <c r="B25" s="11">
        <v>0.258185</v>
      </c>
      <c r="C25" s="11">
        <v>0.25915199999999999</v>
      </c>
      <c r="D25" s="11">
        <v>0.249385</v>
      </c>
      <c r="E25" s="11">
        <v>0.242202</v>
      </c>
      <c r="F25" s="11">
        <v>0.25508599999999998</v>
      </c>
    </row>
    <row r="26" spans="1:6" x14ac:dyDescent="0.15">
      <c r="A26" s="5" t="s">
        <v>250</v>
      </c>
      <c r="B26" s="11">
        <v>3.1350000000000002E-3</v>
      </c>
      <c r="C26" s="11">
        <v>0.11258799999999999</v>
      </c>
      <c r="D26" s="11">
        <v>0.131467</v>
      </c>
      <c r="E26" s="11">
        <v>0.116049</v>
      </c>
      <c r="F26" s="11">
        <v>0.12407899999999999</v>
      </c>
    </row>
    <row r="27" spans="1:6" x14ac:dyDescent="0.15">
      <c r="A27" s="5" t="s">
        <v>249</v>
      </c>
      <c r="B27" s="11">
        <v>2.9968999999999999E-2</v>
      </c>
      <c r="C27" s="11">
        <v>8.5997000000000004E-2</v>
      </c>
      <c r="D27" s="11">
        <v>0.103294</v>
      </c>
      <c r="E27" s="11">
        <v>8.9945999999999998E-2</v>
      </c>
      <c r="F27" s="11">
        <v>9.7961999999999994E-2</v>
      </c>
    </row>
    <row r="28" spans="1:6" x14ac:dyDescent="0.15">
      <c r="A28" s="5" t="s">
        <v>248</v>
      </c>
      <c r="B28" s="11">
        <v>-1.3864E-2</v>
      </c>
      <c r="C28" s="11">
        <v>8.5997000000000004E-2</v>
      </c>
      <c r="D28" s="11">
        <v>0.103294</v>
      </c>
      <c r="E28" s="11">
        <v>8.9945999999999998E-2</v>
      </c>
      <c r="F28" s="11">
        <v>9.7961999999999994E-2</v>
      </c>
    </row>
    <row r="29" spans="1:6" x14ac:dyDescent="0.15">
      <c r="A29" s="5" t="s">
        <v>247</v>
      </c>
      <c r="B29" s="11">
        <v>6.2881999999999993E-2</v>
      </c>
      <c r="C29" s="11">
        <v>8.0709000000000003E-2</v>
      </c>
      <c r="D29" s="11">
        <v>7.2985999999999995E-2</v>
      </c>
      <c r="E29" s="11">
        <v>7.4425000000000005E-2</v>
      </c>
      <c r="F29" s="11">
        <v>9.1440999999999995E-2</v>
      </c>
    </row>
    <row r="30" spans="1:6" x14ac:dyDescent="0.15">
      <c r="A30" s="5" t="s">
        <v>246</v>
      </c>
      <c r="B30" s="11">
        <v>0.35136499999999998</v>
      </c>
      <c r="C30" s="11">
        <v>0.165158</v>
      </c>
      <c r="D30" s="11">
        <v>9.7489000000000006E-2</v>
      </c>
      <c r="E30" s="11">
        <v>0.13229199999999999</v>
      </c>
      <c r="F30" s="11">
        <v>0.15206700000000001</v>
      </c>
    </row>
    <row r="31" spans="1:6" x14ac:dyDescent="0.15">
      <c r="A31" s="5" t="s">
        <v>245</v>
      </c>
      <c r="B31" s="11">
        <v>0.40683799999999998</v>
      </c>
      <c r="C31" s="11">
        <v>0.20948</v>
      </c>
      <c r="D31" s="11">
        <v>0.13866400000000001</v>
      </c>
      <c r="E31" s="11">
        <v>0.173404</v>
      </c>
      <c r="F31" s="11">
        <v>0.19004699999999999</v>
      </c>
    </row>
    <row r="32" spans="1:6" x14ac:dyDescent="0.15">
      <c r="A32" s="5"/>
      <c r="B32" s="5"/>
      <c r="C32" s="5"/>
      <c r="D32" s="5"/>
      <c r="E32" s="5"/>
      <c r="F32" s="5"/>
    </row>
    <row r="33" spans="1:6" x14ac:dyDescent="0.15">
      <c r="A33" s="7" t="s">
        <v>198</v>
      </c>
      <c r="B33" s="5"/>
      <c r="C33" s="5"/>
      <c r="D33" s="5"/>
      <c r="E33" s="5"/>
      <c r="F33" s="5"/>
    </row>
    <row r="34" spans="1:6" x14ac:dyDescent="0.15">
      <c r="A34" s="5" t="s">
        <v>244</v>
      </c>
      <c r="B34" s="36">
        <v>0.202484</v>
      </c>
      <c r="C34" s="36">
        <v>0.244592</v>
      </c>
      <c r="D34" s="36">
        <v>0.26841599999999999</v>
      </c>
      <c r="E34" s="36">
        <v>0.274727</v>
      </c>
      <c r="F34" s="36">
        <v>0.28061599999999998</v>
      </c>
    </row>
    <row r="35" spans="1:6" x14ac:dyDescent="0.15">
      <c r="A35" s="5" t="s">
        <v>243</v>
      </c>
      <c r="B35" s="36">
        <v>1.7375229999999999</v>
      </c>
      <c r="C35" s="36">
        <v>2.0454629999999998</v>
      </c>
      <c r="D35" s="36">
        <v>2.1663380000000001</v>
      </c>
      <c r="E35" s="36">
        <v>2.220269</v>
      </c>
      <c r="F35" s="36">
        <v>2.3754689999999998</v>
      </c>
    </row>
    <row r="36" spans="1:6" x14ac:dyDescent="0.15">
      <c r="A36" s="5" t="s">
        <v>242</v>
      </c>
      <c r="B36" s="36">
        <v>12.390907</v>
      </c>
      <c r="C36" s="36">
        <v>15.593394999999999</v>
      </c>
      <c r="D36" s="36">
        <v>15.894925000000001</v>
      </c>
      <c r="E36" s="36">
        <v>14.618414</v>
      </c>
      <c r="F36" s="36">
        <v>14.455919</v>
      </c>
    </row>
    <row r="37" spans="1:6" x14ac:dyDescent="0.15">
      <c r="A37" s="5" t="s">
        <v>241</v>
      </c>
      <c r="B37" s="36">
        <v>4.4076769999999996</v>
      </c>
      <c r="C37" s="36">
        <v>4.6750319999999999</v>
      </c>
      <c r="D37" s="36">
        <v>4.3801509999999997</v>
      </c>
      <c r="E37" s="36">
        <v>4.4929880000000004</v>
      </c>
      <c r="F37" s="36">
        <v>5.0446099999999996</v>
      </c>
    </row>
    <row r="38" spans="1:6" x14ac:dyDescent="0.15">
      <c r="A38" s="5"/>
      <c r="B38" s="5"/>
      <c r="C38" s="5"/>
      <c r="D38" s="5"/>
      <c r="E38" s="5"/>
      <c r="F38" s="5"/>
    </row>
    <row r="39" spans="1:6" x14ac:dyDescent="0.15">
      <c r="A39" s="7" t="s">
        <v>240</v>
      </c>
      <c r="B39" s="5"/>
      <c r="C39" s="5"/>
      <c r="D39" s="5"/>
      <c r="E39" s="5"/>
      <c r="F39" s="5"/>
    </row>
    <row r="40" spans="1:6" x14ac:dyDescent="0.15">
      <c r="A40" s="5" t="s">
        <v>239</v>
      </c>
      <c r="B40" s="36">
        <v>0.81970200000000004</v>
      </c>
      <c r="C40" s="36">
        <v>0.70059000000000005</v>
      </c>
      <c r="D40" s="36">
        <v>0.67434400000000005</v>
      </c>
      <c r="E40" s="36">
        <v>0.62888900000000003</v>
      </c>
      <c r="F40" s="36">
        <v>0.69554800000000006</v>
      </c>
    </row>
    <row r="41" spans="1:6" x14ac:dyDescent="0.15">
      <c r="A41" s="5" t="s">
        <v>238</v>
      </c>
      <c r="B41" s="36">
        <v>0.64237100000000003</v>
      </c>
      <c r="C41" s="36">
        <v>0.51333899999999999</v>
      </c>
      <c r="D41" s="36">
        <v>0.45961600000000002</v>
      </c>
      <c r="E41" s="36">
        <v>0.45136700000000002</v>
      </c>
      <c r="F41" s="36">
        <v>0.51106799999999997</v>
      </c>
    </row>
    <row r="42" spans="1:6" x14ac:dyDescent="0.15">
      <c r="A42" s="5" t="s">
        <v>237</v>
      </c>
      <c r="B42" s="36">
        <v>0.33663999999999999</v>
      </c>
      <c r="C42" s="36">
        <v>0.432921</v>
      </c>
      <c r="D42" s="36">
        <v>0.38675999999999999</v>
      </c>
      <c r="E42" s="36">
        <v>0.35700799999999999</v>
      </c>
      <c r="F42" s="36">
        <v>0.45530100000000001</v>
      </c>
    </row>
    <row r="43" spans="1:6" x14ac:dyDescent="0.15">
      <c r="A43" s="5" t="s">
        <v>236</v>
      </c>
      <c r="B43" s="8">
        <v>29.537663999999999</v>
      </c>
      <c r="C43" s="8">
        <v>23.407084999999999</v>
      </c>
      <c r="D43" s="8">
        <v>22.963245000000001</v>
      </c>
      <c r="E43" s="8">
        <v>24.96819</v>
      </c>
      <c r="F43" s="8">
        <v>25.318049999999999</v>
      </c>
    </row>
    <row r="44" spans="1:6" x14ac:dyDescent="0.15">
      <c r="A44" s="5" t="s">
        <v>235</v>
      </c>
      <c r="B44" s="8">
        <v>83.036615999999995</v>
      </c>
      <c r="C44" s="8">
        <v>78.07423</v>
      </c>
      <c r="D44" s="8">
        <v>83.33023</v>
      </c>
      <c r="E44" s="8">
        <v>81.237319999999997</v>
      </c>
      <c r="F44" s="8">
        <v>72.552546000000007</v>
      </c>
    </row>
    <row r="45" spans="1:6" x14ac:dyDescent="0.15">
      <c r="A45" s="5" t="s">
        <v>234</v>
      </c>
      <c r="B45" s="8">
        <v>295.32430199999999</v>
      </c>
      <c r="C45" s="8">
        <v>256.17160000000001</v>
      </c>
      <c r="D45" s="8">
        <v>241.398955</v>
      </c>
      <c r="E45" s="8">
        <v>251.375865</v>
      </c>
      <c r="F45" s="8">
        <v>235.82880599999999</v>
      </c>
    </row>
    <row r="46" spans="1:6" x14ac:dyDescent="0.15">
      <c r="A46" s="5" t="s">
        <v>233</v>
      </c>
      <c r="B46" s="8">
        <v>-182.8</v>
      </c>
      <c r="C46" s="8">
        <v>-154.69999999999999</v>
      </c>
      <c r="D46" s="8">
        <v>-135.1</v>
      </c>
      <c r="E46" s="8">
        <v>-145.19999999999999</v>
      </c>
      <c r="F46" s="8">
        <v>-138</v>
      </c>
    </row>
    <row r="47" spans="1:6" x14ac:dyDescent="0.15">
      <c r="A47" s="5"/>
      <c r="B47" s="5"/>
      <c r="C47" s="5"/>
      <c r="D47" s="5"/>
      <c r="E47" s="5"/>
      <c r="F47" s="5"/>
    </row>
    <row r="48" spans="1:6" x14ac:dyDescent="0.15">
      <c r="A48" s="7" t="s">
        <v>232</v>
      </c>
      <c r="B48" s="5"/>
      <c r="C48" s="5"/>
      <c r="D48" s="5"/>
      <c r="E48" s="5"/>
      <c r="F48" s="5"/>
    </row>
    <row r="49" spans="1:6" x14ac:dyDescent="0.15">
      <c r="A49" s="5" t="s">
        <v>231</v>
      </c>
      <c r="B49" s="11">
        <v>1.2613490000000001</v>
      </c>
      <c r="C49" s="11">
        <v>1.120846</v>
      </c>
      <c r="D49" s="11">
        <v>0.95142199999999999</v>
      </c>
      <c r="E49" s="11">
        <v>0.84532099999999999</v>
      </c>
      <c r="F49" s="11">
        <v>0.81530999999999998</v>
      </c>
    </row>
    <row r="50" spans="1:6" x14ac:dyDescent="0.15">
      <c r="A50" s="5" t="s">
        <v>266</v>
      </c>
      <c r="B50" s="11">
        <v>0.557786</v>
      </c>
      <c r="C50" s="11">
        <v>0.52849000000000002</v>
      </c>
      <c r="D50" s="11">
        <v>0.48755300000000001</v>
      </c>
      <c r="E50" s="11">
        <v>0.458088</v>
      </c>
      <c r="F50" s="11">
        <v>0.449129</v>
      </c>
    </row>
    <row r="51" spans="1:6" x14ac:dyDescent="0.15">
      <c r="A51" s="5" t="s">
        <v>230</v>
      </c>
      <c r="B51" s="11">
        <v>1.218593</v>
      </c>
      <c r="C51" s="11">
        <v>1.101197</v>
      </c>
      <c r="D51" s="11">
        <v>0.93594999999999995</v>
      </c>
      <c r="E51" s="11">
        <v>0.80185799999999996</v>
      </c>
      <c r="F51" s="11">
        <v>0.79802700000000004</v>
      </c>
    </row>
    <row r="52" spans="1:6" x14ac:dyDescent="0.15">
      <c r="A52" s="5" t="s">
        <v>229</v>
      </c>
      <c r="B52" s="11">
        <v>0.53887799999999997</v>
      </c>
      <c r="C52" s="11">
        <v>0.51922500000000005</v>
      </c>
      <c r="D52" s="11">
        <v>0.47962399999999999</v>
      </c>
      <c r="E52" s="11">
        <v>0.434535</v>
      </c>
      <c r="F52" s="11">
        <v>0.43960900000000003</v>
      </c>
    </row>
    <row r="53" spans="1:6" x14ac:dyDescent="0.15">
      <c r="A53" s="5" t="s">
        <v>228</v>
      </c>
      <c r="B53" s="11">
        <v>0.65394099999999999</v>
      </c>
      <c r="C53" s="11">
        <v>0.63543099999999997</v>
      </c>
      <c r="D53" s="11">
        <v>0.60422200000000004</v>
      </c>
      <c r="E53" s="11">
        <v>0.57747700000000002</v>
      </c>
      <c r="F53" s="11">
        <v>0.57074400000000003</v>
      </c>
    </row>
    <row r="54" spans="1:6" x14ac:dyDescent="0.15">
      <c r="A54" s="5"/>
      <c r="B54" s="5"/>
      <c r="C54" s="5"/>
      <c r="D54" s="5"/>
      <c r="E54" s="5"/>
      <c r="F54" s="5"/>
    </row>
    <row r="55" spans="1:6" x14ac:dyDescent="0.15">
      <c r="A55" s="5" t="s">
        <v>486</v>
      </c>
      <c r="B55" s="36">
        <v>2.9089160000000001</v>
      </c>
      <c r="C55" s="36">
        <v>3.6543749999999999</v>
      </c>
      <c r="D55" s="36">
        <v>3.7853949999999998</v>
      </c>
      <c r="E55" s="36">
        <v>3.6820270000000002</v>
      </c>
      <c r="F55" s="36">
        <v>4.1976870000000002</v>
      </c>
    </row>
    <row r="56" spans="1:6" x14ac:dyDescent="0.15">
      <c r="A56" s="5" t="s">
        <v>227</v>
      </c>
      <c r="B56" s="36">
        <v>4.0694540000000003</v>
      </c>
      <c r="C56" s="36">
        <v>4.8732790000000001</v>
      </c>
      <c r="D56" s="36">
        <v>5.0730230000000001</v>
      </c>
      <c r="E56" s="36">
        <v>5.0079359999999999</v>
      </c>
      <c r="F56" s="36">
        <v>5.4776980000000002</v>
      </c>
    </row>
    <row r="57" spans="1:6" x14ac:dyDescent="0.15">
      <c r="A57" s="5" t="s">
        <v>226</v>
      </c>
      <c r="B57" s="36">
        <v>3.1607780000000001</v>
      </c>
      <c r="C57" s="36">
        <v>3.408725</v>
      </c>
      <c r="D57" s="36">
        <v>3.717625</v>
      </c>
      <c r="E57" s="36">
        <v>3.820532</v>
      </c>
      <c r="F57" s="36">
        <v>4.4140959999999998</v>
      </c>
    </row>
    <row r="58" spans="1:6" x14ac:dyDescent="0.15">
      <c r="A58" s="5" t="s">
        <v>225</v>
      </c>
      <c r="B58" s="36">
        <v>5.8364140000000004</v>
      </c>
      <c r="C58" s="36">
        <v>4.7385299999999999</v>
      </c>
      <c r="D58" s="36">
        <v>4.1518139999999999</v>
      </c>
      <c r="E58" s="36">
        <v>4.0049580000000002</v>
      </c>
      <c r="F58" s="36">
        <v>3.6349830000000001</v>
      </c>
    </row>
    <row r="59" spans="1:6" x14ac:dyDescent="0.15">
      <c r="A59" s="5" t="s">
        <v>224</v>
      </c>
      <c r="B59" s="36">
        <v>4.9123010000000003</v>
      </c>
      <c r="C59" s="36">
        <v>4.0740119999999997</v>
      </c>
      <c r="D59" s="36">
        <v>3.630404</v>
      </c>
      <c r="E59" s="36">
        <v>3.4733390000000002</v>
      </c>
      <c r="F59" s="36">
        <v>3.0622259999999999</v>
      </c>
    </row>
    <row r="60" spans="1:6" x14ac:dyDescent="0.15">
      <c r="A60" s="5" t="s">
        <v>223</v>
      </c>
      <c r="B60" s="36">
        <v>7.5142939999999996</v>
      </c>
      <c r="C60" s="36">
        <v>6.7744340000000003</v>
      </c>
      <c r="D60" s="36">
        <v>5.6655119999999997</v>
      </c>
      <c r="E60" s="36">
        <v>5.2496809999999998</v>
      </c>
      <c r="F60" s="36">
        <v>4.510853</v>
      </c>
    </row>
    <row r="61" spans="1:6" x14ac:dyDescent="0.15">
      <c r="A61" s="5" t="s">
        <v>222</v>
      </c>
      <c r="B61" s="36">
        <v>6.3245129999999996</v>
      </c>
      <c r="C61" s="36">
        <v>5.8244069999999999</v>
      </c>
      <c r="D61" s="36">
        <v>4.954002</v>
      </c>
      <c r="E61" s="36">
        <v>4.5528370000000002</v>
      </c>
      <c r="F61" s="36">
        <v>3.800087</v>
      </c>
    </row>
    <row r="62" spans="1:6" x14ac:dyDescent="0.15">
      <c r="A62" s="5"/>
      <c r="B62" s="5"/>
      <c r="C62" s="5"/>
      <c r="D62" s="5"/>
      <c r="E62" s="5"/>
      <c r="F62" s="5"/>
    </row>
    <row r="63" spans="1:6" x14ac:dyDescent="0.15">
      <c r="A63" s="5" t="s">
        <v>221</v>
      </c>
      <c r="B63" s="14">
        <v>1.002734</v>
      </c>
      <c r="C63" s="14">
        <v>1.180215</v>
      </c>
      <c r="D63" s="14">
        <v>1.204418</v>
      </c>
      <c r="E63" s="14">
        <v>1.236796</v>
      </c>
      <c r="F63" s="14">
        <v>1.4060010000000001</v>
      </c>
    </row>
    <row r="64" spans="1:6" x14ac:dyDescent="0.15">
      <c r="A64" s="5"/>
      <c r="B64" s="5"/>
      <c r="C64" s="5"/>
      <c r="D64" s="5"/>
      <c r="E64" s="5"/>
      <c r="F64" s="5"/>
    </row>
    <row r="65" spans="1:6" x14ac:dyDescent="0.15">
      <c r="A65" s="7" t="s">
        <v>220</v>
      </c>
      <c r="B65" s="5"/>
      <c r="C65" s="5"/>
      <c r="D65" s="5"/>
      <c r="E65" s="5"/>
      <c r="F65" s="5"/>
    </row>
    <row r="66" spans="1:6" x14ac:dyDescent="0.15">
      <c r="A66" s="5" t="s">
        <v>85</v>
      </c>
      <c r="B66" s="11">
        <v>-0.104111</v>
      </c>
      <c r="C66" s="11">
        <v>0.15833700000000001</v>
      </c>
      <c r="D66" s="11">
        <v>6.4119999999999996E-2</v>
      </c>
      <c r="E66" s="11">
        <v>2.7584000000000001E-2</v>
      </c>
      <c r="F66" s="11">
        <v>6.5339999999999999E-3</v>
      </c>
    </row>
    <row r="67" spans="1:6" x14ac:dyDescent="0.15">
      <c r="A67" s="5" t="s">
        <v>83</v>
      </c>
      <c r="B67" s="11">
        <v>-0.14765300000000001</v>
      </c>
      <c r="C67" s="11">
        <v>0.14533699999999999</v>
      </c>
      <c r="D67" s="11">
        <v>8.7799999999999996E-3</v>
      </c>
      <c r="E67" s="11">
        <v>1.5977000000000002E-2</v>
      </c>
      <c r="F67" s="11">
        <v>3.2516000000000003E-2</v>
      </c>
    </row>
    <row r="68" spans="1:6" x14ac:dyDescent="0.15">
      <c r="A68" s="5" t="s">
        <v>216</v>
      </c>
      <c r="B68" s="11">
        <v>-0.164381</v>
      </c>
      <c r="C68" s="11">
        <v>7.4410000000000004E-2</v>
      </c>
      <c r="D68" s="11">
        <v>2.6988000000000002E-2</v>
      </c>
      <c r="E68" s="11">
        <v>3.8E-3</v>
      </c>
      <c r="F68" s="11">
        <v>1.9088000000000001E-2</v>
      </c>
    </row>
    <row r="69" spans="1:6" x14ac:dyDescent="0.15">
      <c r="A69" s="5" t="s">
        <v>215</v>
      </c>
      <c r="B69" s="11">
        <v>-0.27870899999999998</v>
      </c>
      <c r="C69" s="11">
        <v>0.21587899999999999</v>
      </c>
      <c r="D69" s="11">
        <v>2.317E-2</v>
      </c>
      <c r="E69" s="11">
        <v>2.3240000000000001E-3</v>
      </c>
      <c r="F69" s="11">
        <v>2.4315E-2</v>
      </c>
    </row>
    <row r="70" spans="1:6" x14ac:dyDescent="0.15">
      <c r="A70" s="5" t="s">
        <v>214</v>
      </c>
      <c r="B70" s="11">
        <v>-0.25071199999999999</v>
      </c>
      <c r="C70" s="11">
        <v>0.16267300000000001</v>
      </c>
      <c r="D70" s="11">
        <v>2.4017E-2</v>
      </c>
      <c r="E70" s="11">
        <v>-2.013E-3</v>
      </c>
      <c r="F70" s="11">
        <v>6.0075000000000003E-2</v>
      </c>
    </row>
    <row r="71" spans="1:6" x14ac:dyDescent="0.15">
      <c r="A71" s="5" t="s">
        <v>58</v>
      </c>
      <c r="B71" s="11">
        <v>-0.985286</v>
      </c>
      <c r="C71" s="11">
        <v>40.591836000000001</v>
      </c>
      <c r="D71" s="11">
        <v>0.242558</v>
      </c>
      <c r="E71" s="11">
        <v>-9.2932000000000001E-2</v>
      </c>
      <c r="F71" s="11">
        <v>7.6186000000000004E-2</v>
      </c>
    </row>
    <row r="72" spans="1:6" x14ac:dyDescent="0.15">
      <c r="A72" s="5" t="s">
        <v>53</v>
      </c>
      <c r="B72" s="11">
        <v>-0.8468</v>
      </c>
      <c r="C72" s="11">
        <v>2.3238430000000001</v>
      </c>
      <c r="D72" s="11">
        <v>0.27815800000000002</v>
      </c>
      <c r="E72" s="11">
        <v>-0.105211</v>
      </c>
      <c r="F72" s="11">
        <v>9.6236000000000002E-2</v>
      </c>
    </row>
    <row r="73" spans="1:6" x14ac:dyDescent="0.15">
      <c r="A73" s="5" t="s">
        <v>213</v>
      </c>
      <c r="B73" s="11">
        <v>-0.52691100000000002</v>
      </c>
      <c r="C73" s="11">
        <v>0.48672799999999999</v>
      </c>
      <c r="D73" s="11">
        <v>-3.7704000000000001E-2</v>
      </c>
      <c r="E73" s="11">
        <v>4.7834000000000002E-2</v>
      </c>
      <c r="F73" s="11">
        <v>0.23665600000000001</v>
      </c>
    </row>
    <row r="74" spans="1:6" ht="12" x14ac:dyDescent="0.15">
      <c r="A74" s="5" t="s">
        <v>212</v>
      </c>
      <c r="B74" s="11" t="s">
        <v>30</v>
      </c>
      <c r="C74" s="11" t="s">
        <v>30</v>
      </c>
      <c r="D74" s="11">
        <v>0.27631499999999998</v>
      </c>
      <c r="E74" s="11">
        <v>-0.10653</v>
      </c>
      <c r="F74" s="11">
        <v>0.1</v>
      </c>
    </row>
    <row r="75" spans="1:6" x14ac:dyDescent="0.15">
      <c r="A75" s="5"/>
      <c r="B75" s="5"/>
      <c r="C75" s="5"/>
      <c r="D75" s="5"/>
      <c r="E75" s="5"/>
      <c r="F75" s="5"/>
    </row>
    <row r="76" spans="1:6" x14ac:dyDescent="0.15">
      <c r="A76" s="5" t="s">
        <v>211</v>
      </c>
      <c r="B76" s="11">
        <v>-0.18362999999999999</v>
      </c>
      <c r="C76" s="11">
        <v>4.7926999999999997E-2</v>
      </c>
      <c r="D76" s="11">
        <v>4.0122999999999999E-2</v>
      </c>
      <c r="E76" s="11">
        <v>0.191529</v>
      </c>
      <c r="F76" s="11">
        <v>-0.127915</v>
      </c>
    </row>
    <row r="77" spans="1:6" x14ac:dyDescent="0.15">
      <c r="A77" s="5" t="s">
        <v>210</v>
      </c>
      <c r="B77" s="11">
        <v>1.2423E-2</v>
      </c>
      <c r="C77" s="11">
        <v>0.204596</v>
      </c>
      <c r="D77" s="11">
        <v>0.22467100000000001</v>
      </c>
      <c r="E77" s="11">
        <v>-0.15562699999999999</v>
      </c>
      <c r="F77" s="11">
        <v>-0.100842</v>
      </c>
    </row>
    <row r="78" spans="1:6" x14ac:dyDescent="0.15">
      <c r="A78" s="5" t="s">
        <v>209</v>
      </c>
      <c r="B78" s="11">
        <v>-4.0843999999999998E-2</v>
      </c>
      <c r="C78" s="11">
        <v>9.8029999999999992E-3</v>
      </c>
      <c r="D78" s="11">
        <v>-2.63E-4</v>
      </c>
      <c r="E78" s="11">
        <v>5.5110000000000003E-3</v>
      </c>
      <c r="F78" s="11">
        <v>-0.123612</v>
      </c>
    </row>
    <row r="79" spans="1:6" x14ac:dyDescent="0.15">
      <c r="A79" s="5" t="s">
        <v>208</v>
      </c>
      <c r="B79" s="11">
        <v>-4.3263000000000003E-2</v>
      </c>
      <c r="C79" s="11">
        <v>-3.8793000000000001E-2</v>
      </c>
      <c r="D79" s="11">
        <v>-2.1524000000000001E-2</v>
      </c>
      <c r="E79" s="11">
        <v>3.0040000000000001E-2</v>
      </c>
      <c r="F79" s="11">
        <v>-5.7915000000000001E-2</v>
      </c>
    </row>
    <row r="80" spans="1:6" x14ac:dyDescent="0.15">
      <c r="A80" s="5"/>
      <c r="B80" s="5"/>
      <c r="C80" s="5"/>
      <c r="D80" s="5"/>
      <c r="E80" s="5"/>
      <c r="F80" s="5"/>
    </row>
    <row r="81" spans="1:6" ht="12" x14ac:dyDescent="0.15">
      <c r="A81" s="5" t="s">
        <v>207</v>
      </c>
      <c r="B81" s="11" t="s">
        <v>30</v>
      </c>
      <c r="C81" s="11" t="s">
        <v>30</v>
      </c>
      <c r="D81" s="11" t="s">
        <v>30</v>
      </c>
      <c r="E81" s="11" t="s">
        <v>30</v>
      </c>
      <c r="F81" s="11" t="s">
        <v>30</v>
      </c>
    </row>
    <row r="82" spans="1:6" x14ac:dyDescent="0.15">
      <c r="A82" s="5" t="s">
        <v>206</v>
      </c>
      <c r="B82" s="11">
        <v>-0.101662</v>
      </c>
      <c r="C82" s="11">
        <v>9.4809999999999998E-3</v>
      </c>
      <c r="D82" s="11">
        <v>6.8865999999999997E-2</v>
      </c>
      <c r="E82" s="11">
        <v>0.11512500000000001</v>
      </c>
      <c r="F82" s="11">
        <v>-4.4118999999999998E-2</v>
      </c>
    </row>
    <row r="83" spans="1:6" x14ac:dyDescent="0.15">
      <c r="A83" s="5" t="s">
        <v>205</v>
      </c>
      <c r="B83" s="11">
        <v>-0.22406699999999999</v>
      </c>
      <c r="C83" s="11">
        <v>0.35882799999999998</v>
      </c>
      <c r="D83" s="11">
        <v>-0.101426</v>
      </c>
      <c r="E83" s="11">
        <v>-2.4819999999999998E-3</v>
      </c>
      <c r="F83" s="11">
        <v>0.13494100000000001</v>
      </c>
    </row>
    <row r="84" spans="1:6" x14ac:dyDescent="0.15">
      <c r="A84" s="5" t="s">
        <v>204</v>
      </c>
      <c r="B84" s="11">
        <v>-0.269231</v>
      </c>
      <c r="C84" s="11">
        <v>0.49166799999999999</v>
      </c>
      <c r="D84" s="11">
        <v>-8.5107000000000002E-2</v>
      </c>
      <c r="E84" s="11">
        <v>-0.101163</v>
      </c>
      <c r="F84" s="11">
        <v>-0.167098</v>
      </c>
    </row>
    <row r="85" spans="1:6" ht="12" x14ac:dyDescent="0.15">
      <c r="A85" s="5" t="s">
        <v>203</v>
      </c>
      <c r="B85" s="11" t="s">
        <v>30</v>
      </c>
      <c r="C85" s="11">
        <v>-0.45552799999999999</v>
      </c>
      <c r="D85" s="11">
        <v>-0.37187500000000001</v>
      </c>
      <c r="E85" s="11">
        <v>0.394426</v>
      </c>
      <c r="F85" s="11">
        <v>0.15699099999999999</v>
      </c>
    </row>
    <row r="86" spans="1:6" ht="12" x14ac:dyDescent="0.15">
      <c r="A86" s="5" t="s">
        <v>202</v>
      </c>
      <c r="B86" s="11" t="s">
        <v>30</v>
      </c>
      <c r="C86" s="11">
        <v>-0.40357500000000002</v>
      </c>
      <c r="D86" s="11">
        <v>-0.29561100000000001</v>
      </c>
      <c r="E86" s="11">
        <v>0.28502499999999997</v>
      </c>
      <c r="F86" s="11">
        <v>0.10313899999999999</v>
      </c>
    </row>
    <row r="87" spans="1:6" x14ac:dyDescent="0.15">
      <c r="A87" s="5" t="s">
        <v>201</v>
      </c>
      <c r="B87" s="11">
        <v>-0.580758</v>
      </c>
      <c r="C87" s="11">
        <v>-7.0283999999999999E-2</v>
      </c>
      <c r="D87" s="11">
        <v>0.40958600000000001</v>
      </c>
      <c r="E87" s="11">
        <v>0.130797</v>
      </c>
      <c r="F87" s="11">
        <v>0.14224300000000001</v>
      </c>
    </row>
    <row r="88" spans="1:6" x14ac:dyDescent="0.15">
      <c r="A88" s="5"/>
      <c r="B88" s="5"/>
      <c r="C88" s="5"/>
      <c r="D88" s="5"/>
      <c r="E88" s="5"/>
      <c r="F88" s="5"/>
    </row>
    <row r="89" spans="1:6" x14ac:dyDescent="0.15">
      <c r="A89" s="7" t="s">
        <v>219</v>
      </c>
      <c r="B89" s="5"/>
      <c r="C89" s="5"/>
      <c r="D89" s="5"/>
      <c r="E89" s="5"/>
      <c r="F89" s="5"/>
    </row>
    <row r="90" spans="1:6" x14ac:dyDescent="0.15">
      <c r="A90" s="5" t="s">
        <v>85</v>
      </c>
      <c r="B90" s="11">
        <v>-5.9859999999999997E-2</v>
      </c>
      <c r="C90" s="11">
        <v>1.8696000000000001E-2</v>
      </c>
      <c r="D90" s="11">
        <v>0.11022999999999999</v>
      </c>
      <c r="E90" s="11">
        <v>4.5692999999999998E-2</v>
      </c>
      <c r="F90" s="11">
        <v>1.7003999999999998E-2</v>
      </c>
    </row>
    <row r="91" spans="1:6" x14ac:dyDescent="0.15">
      <c r="A91" s="5" t="s">
        <v>83</v>
      </c>
      <c r="B91" s="11">
        <v>-9.2821000000000001E-2</v>
      </c>
      <c r="C91" s="11">
        <v>-1.1958999999999999E-2</v>
      </c>
      <c r="D91" s="11">
        <v>7.4892E-2</v>
      </c>
      <c r="E91" s="11">
        <v>1.2371999999999999E-2</v>
      </c>
      <c r="F91" s="11">
        <v>2.4212999999999998E-2</v>
      </c>
    </row>
    <row r="92" spans="1:6" x14ac:dyDescent="0.15">
      <c r="A92" s="5" t="s">
        <v>216</v>
      </c>
      <c r="B92" s="11">
        <v>-0.101976</v>
      </c>
      <c r="C92" s="11">
        <v>-5.2477000000000003E-2</v>
      </c>
      <c r="D92" s="11">
        <v>5.0431999999999998E-2</v>
      </c>
      <c r="E92" s="11">
        <v>1.5328E-2</v>
      </c>
      <c r="F92" s="11">
        <v>1.1415E-2</v>
      </c>
    </row>
    <row r="93" spans="1:6" x14ac:dyDescent="0.15">
      <c r="A93" s="5" t="s">
        <v>215</v>
      </c>
      <c r="B93" s="11">
        <v>-0.16645799999999999</v>
      </c>
      <c r="C93" s="11">
        <v>-6.3516000000000003E-2</v>
      </c>
      <c r="D93" s="11">
        <v>0.11537</v>
      </c>
      <c r="E93" s="11">
        <v>1.2692999999999999E-2</v>
      </c>
      <c r="F93" s="11">
        <v>1.3259999999999999E-2</v>
      </c>
    </row>
    <row r="94" spans="1:6" x14ac:dyDescent="0.15">
      <c r="A94" s="5" t="s">
        <v>214</v>
      </c>
      <c r="B94" s="11">
        <v>-0.15450700000000001</v>
      </c>
      <c r="C94" s="11">
        <v>-6.6630999999999996E-2</v>
      </c>
      <c r="D94" s="11">
        <v>9.1145000000000004E-2</v>
      </c>
      <c r="E94" s="11">
        <v>1.0918000000000001E-2</v>
      </c>
      <c r="F94" s="11">
        <v>2.8563000000000002E-2</v>
      </c>
    </row>
    <row r="95" spans="1:6" x14ac:dyDescent="0.15">
      <c r="A95" s="5" t="s">
        <v>58</v>
      </c>
      <c r="B95" s="11">
        <v>-0.83116900000000005</v>
      </c>
      <c r="C95" s="11">
        <v>-0.21768799999999999</v>
      </c>
      <c r="D95" s="11">
        <v>6.1888990000000002</v>
      </c>
      <c r="E95" s="11">
        <v>6.1643000000000003E-2</v>
      </c>
      <c r="F95" s="11">
        <v>-1.1985000000000001E-2</v>
      </c>
    </row>
    <row r="96" spans="1:6" x14ac:dyDescent="0.15">
      <c r="A96" s="5" t="s">
        <v>53</v>
      </c>
      <c r="B96" s="11">
        <v>-0.432981</v>
      </c>
      <c r="C96" s="11">
        <v>-0.286408</v>
      </c>
      <c r="D96" s="11">
        <v>1.061164</v>
      </c>
      <c r="E96" s="11">
        <v>6.9431000000000007E-2</v>
      </c>
      <c r="F96" s="11">
        <v>-9.5960000000000004E-3</v>
      </c>
    </row>
    <row r="97" spans="1:6" x14ac:dyDescent="0.15">
      <c r="A97" s="5" t="s">
        <v>213</v>
      </c>
      <c r="B97" s="11">
        <v>-0.24069699999999999</v>
      </c>
      <c r="C97" s="11">
        <v>-0.16133700000000001</v>
      </c>
      <c r="D97" s="11">
        <v>0.196107</v>
      </c>
      <c r="E97" s="11">
        <v>4.1549999999999998E-3</v>
      </c>
      <c r="F97" s="11">
        <v>0.13833699999999999</v>
      </c>
    </row>
    <row r="98" spans="1:6" ht="12" x14ac:dyDescent="0.15">
      <c r="A98" s="5" t="s">
        <v>212</v>
      </c>
      <c r="B98" s="11" t="s">
        <v>30</v>
      </c>
      <c r="C98" s="11">
        <v>-0.27351700000000001</v>
      </c>
      <c r="D98" s="11" t="s">
        <v>30</v>
      </c>
      <c r="E98" s="11">
        <v>6.7872000000000002E-2</v>
      </c>
      <c r="F98" s="11">
        <v>-8.6289999999999995E-3</v>
      </c>
    </row>
    <row r="99" spans="1:6" x14ac:dyDescent="0.15">
      <c r="A99" s="5"/>
      <c r="B99" s="5"/>
      <c r="C99" s="5"/>
      <c r="D99" s="5"/>
      <c r="E99" s="5"/>
      <c r="F99" s="5"/>
    </row>
    <row r="100" spans="1:6" x14ac:dyDescent="0.15">
      <c r="A100" s="5" t="s">
        <v>211</v>
      </c>
      <c r="B100" s="11">
        <v>-0.13591</v>
      </c>
      <c r="C100" s="11">
        <v>-7.5069999999999998E-2</v>
      </c>
      <c r="D100" s="11">
        <v>4.4018000000000002E-2</v>
      </c>
      <c r="E100" s="11">
        <v>0.11325499999999999</v>
      </c>
      <c r="F100" s="11">
        <v>1.9369999999999998E-2</v>
      </c>
    </row>
    <row r="101" spans="1:6" x14ac:dyDescent="0.15">
      <c r="A101" s="5" t="s">
        <v>210</v>
      </c>
      <c r="B101" s="11">
        <v>2.887E-2</v>
      </c>
      <c r="C101" s="11">
        <v>0.104337</v>
      </c>
      <c r="D101" s="11">
        <v>0.214592</v>
      </c>
      <c r="E101" s="11">
        <v>1.6896999999999999E-2</v>
      </c>
      <c r="F101" s="11">
        <v>-0.128665</v>
      </c>
    </row>
    <row r="102" spans="1:6" x14ac:dyDescent="0.15">
      <c r="A102" s="5" t="s">
        <v>209</v>
      </c>
      <c r="B102" s="11">
        <v>-2.1895000000000001E-2</v>
      </c>
      <c r="C102" s="11">
        <v>-1.5845999999999999E-2</v>
      </c>
      <c r="D102" s="11">
        <v>4.7580000000000001E-3</v>
      </c>
      <c r="E102" s="11">
        <v>2.6199999999999999E-3</v>
      </c>
      <c r="F102" s="11">
        <v>-6.1267000000000002E-2</v>
      </c>
    </row>
    <row r="103" spans="1:6" x14ac:dyDescent="0.15">
      <c r="A103" s="5" t="s">
        <v>208</v>
      </c>
      <c r="B103" s="11">
        <v>-1.6074000000000001E-2</v>
      </c>
      <c r="C103" s="11">
        <v>-4.1029999999999997E-2</v>
      </c>
      <c r="D103" s="11">
        <v>-3.0196000000000001E-2</v>
      </c>
      <c r="E103" s="11">
        <v>3.9280000000000001E-3</v>
      </c>
      <c r="F103" s="11">
        <v>-1.4918000000000001E-2</v>
      </c>
    </row>
    <row r="104" spans="1:6" x14ac:dyDescent="0.15">
      <c r="A104" s="5"/>
      <c r="B104" s="5"/>
      <c r="C104" s="5"/>
      <c r="D104" s="5"/>
      <c r="E104" s="5"/>
      <c r="F104" s="5"/>
    </row>
    <row r="105" spans="1:6" ht="12" x14ac:dyDescent="0.15">
      <c r="A105" s="5" t="s">
        <v>207</v>
      </c>
      <c r="B105" s="11" t="s">
        <v>30</v>
      </c>
      <c r="C105" s="11" t="s">
        <v>30</v>
      </c>
      <c r="D105" s="11" t="s">
        <v>30</v>
      </c>
      <c r="E105" s="11" t="s">
        <v>30</v>
      </c>
      <c r="F105" s="11" t="s">
        <v>30</v>
      </c>
    </row>
    <row r="106" spans="1:6" x14ac:dyDescent="0.15">
      <c r="A106" s="5" t="s">
        <v>206</v>
      </c>
      <c r="B106" s="11">
        <v>2.7074000000000001E-2</v>
      </c>
      <c r="C106" s="11">
        <v>-4.7710000000000002E-2</v>
      </c>
      <c r="D106" s="11">
        <v>3.875E-2</v>
      </c>
      <c r="E106" s="11">
        <v>9.1750999999999999E-2</v>
      </c>
      <c r="F106" s="11">
        <v>3.2438000000000002E-2</v>
      </c>
    </row>
    <row r="107" spans="1:6" x14ac:dyDescent="0.15">
      <c r="A107" s="5" t="s">
        <v>205</v>
      </c>
      <c r="B107" s="11">
        <v>-0.14608099999999999</v>
      </c>
      <c r="C107" s="11">
        <v>2.682E-2</v>
      </c>
      <c r="D107" s="11">
        <v>0.104992</v>
      </c>
      <c r="E107" s="11">
        <v>-5.3246000000000002E-2</v>
      </c>
      <c r="F107" s="11">
        <v>6.4014000000000001E-2</v>
      </c>
    </row>
    <row r="108" spans="1:6" x14ac:dyDescent="0.15">
      <c r="A108" s="5" t="s">
        <v>204</v>
      </c>
      <c r="B108" s="11">
        <v>-0.13083700000000001</v>
      </c>
      <c r="C108" s="11">
        <v>4.4061999999999997E-2</v>
      </c>
      <c r="D108" s="11">
        <v>0.168211</v>
      </c>
      <c r="E108" s="11">
        <v>-9.3170000000000003E-2</v>
      </c>
      <c r="F108" s="11">
        <v>-0.13475799999999999</v>
      </c>
    </row>
    <row r="109" spans="1:6" ht="12" x14ac:dyDescent="0.15">
      <c r="A109" s="5" t="s">
        <v>203</v>
      </c>
      <c r="B109" s="11">
        <v>0.21729699999999999</v>
      </c>
      <c r="C109" s="11" t="s">
        <v>30</v>
      </c>
      <c r="D109" s="11">
        <v>-0.41519600000000001</v>
      </c>
      <c r="E109" s="11">
        <v>-6.4118999999999995E-2</v>
      </c>
      <c r="F109" s="11">
        <v>0.270173</v>
      </c>
    </row>
    <row r="110" spans="1:6" ht="12" x14ac:dyDescent="0.15">
      <c r="A110" s="5" t="s">
        <v>202</v>
      </c>
      <c r="B110" s="11">
        <v>0.16680500000000001</v>
      </c>
      <c r="C110" s="11" t="s">
        <v>30</v>
      </c>
      <c r="D110" s="11">
        <v>-0.35183599999999998</v>
      </c>
      <c r="E110" s="11">
        <v>-4.8601999999999999E-2</v>
      </c>
      <c r="F110" s="11">
        <v>0.19061400000000001</v>
      </c>
    </row>
    <row r="111" spans="1:6" x14ac:dyDescent="0.15">
      <c r="A111" s="5" t="s">
        <v>201</v>
      </c>
      <c r="B111" s="11">
        <v>-0.45523200000000003</v>
      </c>
      <c r="C111" s="11">
        <v>-0.37568000000000001</v>
      </c>
      <c r="D111" s="11">
        <v>0.14477699999999999</v>
      </c>
      <c r="E111" s="11">
        <v>0.26251999999999998</v>
      </c>
      <c r="F111" s="11">
        <v>0.13650599999999999</v>
      </c>
    </row>
    <row r="112" spans="1:6" x14ac:dyDescent="0.15">
      <c r="A112" s="5"/>
      <c r="B112" s="5"/>
      <c r="C112" s="5"/>
      <c r="D112" s="5"/>
      <c r="E112" s="5"/>
      <c r="F112" s="5"/>
    </row>
    <row r="113" spans="1:6" x14ac:dyDescent="0.15">
      <c r="A113" s="7" t="s">
        <v>218</v>
      </c>
      <c r="B113" s="5"/>
      <c r="C113" s="5"/>
      <c r="D113" s="5"/>
      <c r="E113" s="5"/>
      <c r="F113" s="5"/>
    </row>
    <row r="114" spans="1:6" x14ac:dyDescent="0.15">
      <c r="A114" s="5" t="s">
        <v>85</v>
      </c>
      <c r="B114" s="11">
        <v>-6.0003000000000001E-2</v>
      </c>
      <c r="C114" s="11">
        <v>7.8750000000000001E-3</v>
      </c>
      <c r="D114" s="11">
        <v>3.3618000000000002E-2</v>
      </c>
      <c r="E114" s="11">
        <v>8.1967999999999999E-2</v>
      </c>
      <c r="F114" s="11">
        <v>3.2473000000000002E-2</v>
      </c>
    </row>
    <row r="115" spans="1:6" x14ac:dyDescent="0.15">
      <c r="A115" s="5" t="s">
        <v>83</v>
      </c>
      <c r="B115" s="11">
        <v>-8.0588000000000007E-2</v>
      </c>
      <c r="C115" s="11">
        <v>-1.9518000000000001E-2</v>
      </c>
      <c r="D115" s="11">
        <v>-5.0939999999999996E-3</v>
      </c>
      <c r="E115" s="11">
        <v>5.4884000000000002E-2</v>
      </c>
      <c r="F115" s="11">
        <v>1.9043000000000001E-2</v>
      </c>
    </row>
    <row r="116" spans="1:6" x14ac:dyDescent="0.15">
      <c r="A116" s="5" t="s">
        <v>216</v>
      </c>
      <c r="B116" s="11">
        <v>-8.0048999999999995E-2</v>
      </c>
      <c r="C116" s="11">
        <v>-4.6656999999999997E-2</v>
      </c>
      <c r="D116" s="11">
        <v>-2.6696999999999999E-2</v>
      </c>
      <c r="E116" s="11">
        <v>3.4652000000000002E-2</v>
      </c>
      <c r="F116" s="11">
        <v>1.6580000000000001E-2</v>
      </c>
    </row>
    <row r="117" spans="1:6" x14ac:dyDescent="0.15">
      <c r="A117" s="5" t="s">
        <v>215</v>
      </c>
      <c r="B117" s="11">
        <v>-0.12474499999999999</v>
      </c>
      <c r="C117" s="11">
        <v>-5.4672999999999999E-2</v>
      </c>
      <c r="D117" s="11">
        <v>-3.5468E-2</v>
      </c>
      <c r="E117" s="11">
        <v>7.6338000000000003E-2</v>
      </c>
      <c r="F117" s="11">
        <v>1.6552999999999998E-2</v>
      </c>
    </row>
    <row r="118" spans="1:6" x14ac:dyDescent="0.15">
      <c r="A118" s="5" t="s">
        <v>214</v>
      </c>
      <c r="B118" s="11">
        <v>-0.116713</v>
      </c>
      <c r="C118" s="11">
        <v>-5.9787E-2</v>
      </c>
      <c r="D118" s="11">
        <v>-3.7344000000000002E-2</v>
      </c>
      <c r="E118" s="11">
        <v>5.9165000000000002E-2</v>
      </c>
      <c r="F118" s="11">
        <v>2.7046000000000001E-2</v>
      </c>
    </row>
    <row r="119" spans="1:6" x14ac:dyDescent="0.15">
      <c r="A119" s="5" t="s">
        <v>58</v>
      </c>
      <c r="B119" s="11">
        <v>-0.747722</v>
      </c>
      <c r="C119" s="11">
        <v>5.8382999999999997E-2</v>
      </c>
      <c r="D119" s="11">
        <v>-8.7234999999999993E-2</v>
      </c>
      <c r="E119" s="11">
        <v>2.6056889999999999</v>
      </c>
      <c r="F119" s="11">
        <v>6.6467999999999999E-2</v>
      </c>
    </row>
    <row r="120" spans="1:6" x14ac:dyDescent="0.15">
      <c r="A120" s="5" t="s">
        <v>53</v>
      </c>
      <c r="B120" s="11">
        <v>-0.43989800000000001</v>
      </c>
      <c r="C120" s="11">
        <v>2.2377999999999999E-2</v>
      </c>
      <c r="D120" s="11">
        <v>-0.133381</v>
      </c>
      <c r="E120" s="11">
        <v>0.56068600000000002</v>
      </c>
      <c r="F120" s="11">
        <v>7.8293000000000001E-2</v>
      </c>
    </row>
    <row r="121" spans="1:6" x14ac:dyDescent="0.15">
      <c r="A121" s="5" t="s">
        <v>213</v>
      </c>
      <c r="B121" s="11">
        <v>-0.231264</v>
      </c>
      <c r="C121" s="11">
        <v>-5.0078999999999999E-2</v>
      </c>
      <c r="D121" s="11">
        <v>-0.122</v>
      </c>
      <c r="E121" s="11">
        <v>0.14448800000000001</v>
      </c>
      <c r="F121" s="11">
        <v>7.6341999999999993E-2</v>
      </c>
    </row>
    <row r="122" spans="1:6" ht="12" x14ac:dyDescent="0.15">
      <c r="A122" s="5" t="s">
        <v>212</v>
      </c>
      <c r="B122" s="11" t="s">
        <v>30</v>
      </c>
      <c r="C122" s="11">
        <v>6.0801000000000001E-2</v>
      </c>
      <c r="D122" s="11">
        <v>-0.12339700000000001</v>
      </c>
      <c r="E122" s="11" t="s">
        <v>30</v>
      </c>
      <c r="F122" s="11">
        <v>7.8476000000000004E-2</v>
      </c>
    </row>
    <row r="123" spans="1:6" x14ac:dyDescent="0.15">
      <c r="A123" s="5"/>
      <c r="B123" s="5"/>
      <c r="C123" s="5"/>
      <c r="D123" s="5"/>
      <c r="E123" s="5"/>
      <c r="F123" s="5"/>
    </row>
    <row r="124" spans="1:6" x14ac:dyDescent="0.15">
      <c r="A124" s="5" t="s">
        <v>211</v>
      </c>
      <c r="B124" s="11">
        <v>-0.115687</v>
      </c>
      <c r="C124" s="11">
        <v>-7.8525999999999999E-2</v>
      </c>
      <c r="D124" s="11">
        <v>-3.8163999999999997E-2</v>
      </c>
      <c r="E124" s="11">
        <v>9.1038999999999995E-2</v>
      </c>
      <c r="F124" s="11">
        <v>2.6241E-2</v>
      </c>
    </row>
    <row r="125" spans="1:6" x14ac:dyDescent="0.15">
      <c r="A125" s="5" t="s">
        <v>210</v>
      </c>
      <c r="B125" s="11">
        <v>2.8552999999999999E-2</v>
      </c>
      <c r="C125" s="11">
        <v>8.4394999999999998E-2</v>
      </c>
      <c r="D125" s="11">
        <v>0.14307400000000001</v>
      </c>
      <c r="E125" s="11">
        <v>7.5966000000000006E-2</v>
      </c>
      <c r="F125" s="11">
        <v>-2.3970000000000002E-2</v>
      </c>
    </row>
    <row r="126" spans="1:6" x14ac:dyDescent="0.15">
      <c r="A126" s="5" t="s">
        <v>209</v>
      </c>
      <c r="B126" s="11">
        <v>-9.4699999999999993E-3</v>
      </c>
      <c r="C126" s="11">
        <v>-1.1441E-2</v>
      </c>
      <c r="D126" s="11">
        <v>-1.0678999999999999E-2</v>
      </c>
      <c r="E126" s="11">
        <v>5.0090000000000004E-3</v>
      </c>
      <c r="F126" s="11">
        <v>-4.1357999999999999E-2</v>
      </c>
    </row>
    <row r="127" spans="1:6" x14ac:dyDescent="0.15">
      <c r="A127" s="5" t="s">
        <v>208</v>
      </c>
      <c r="B127" s="11">
        <v>-2.7449000000000001E-2</v>
      </c>
      <c r="C127" s="11">
        <v>-2.3706000000000001E-2</v>
      </c>
      <c r="D127" s="11">
        <v>-3.4570999999999998E-2</v>
      </c>
      <c r="E127" s="11">
        <v>-1.0519000000000001E-2</v>
      </c>
      <c r="F127" s="11">
        <v>-1.7125000000000001E-2</v>
      </c>
    </row>
    <row r="128" spans="1:6" x14ac:dyDescent="0.15">
      <c r="A128" s="5"/>
      <c r="B128" s="5"/>
      <c r="C128" s="5"/>
      <c r="D128" s="5"/>
      <c r="E128" s="5"/>
      <c r="F128" s="5"/>
    </row>
    <row r="129" spans="1:6" ht="12" x14ac:dyDescent="0.15">
      <c r="A129" s="5" t="s">
        <v>207</v>
      </c>
      <c r="B129" s="11" t="s">
        <v>30</v>
      </c>
      <c r="C129" s="11" t="s">
        <v>30</v>
      </c>
      <c r="D129" s="11" t="s">
        <v>30</v>
      </c>
      <c r="E129" s="11" t="s">
        <v>30</v>
      </c>
      <c r="F129" s="11" t="s">
        <v>30</v>
      </c>
    </row>
    <row r="130" spans="1:6" x14ac:dyDescent="0.15">
      <c r="A130" s="5" t="s">
        <v>206</v>
      </c>
      <c r="B130" s="11">
        <v>-2.1399999999999999E-2</v>
      </c>
      <c r="C130" s="11">
        <v>2.1176E-2</v>
      </c>
      <c r="D130" s="11">
        <v>-1.0337000000000001E-2</v>
      </c>
      <c r="E130" s="11">
        <v>6.3608999999999999E-2</v>
      </c>
      <c r="F130" s="11">
        <v>4.4441000000000001E-2</v>
      </c>
    </row>
    <row r="131" spans="1:6" x14ac:dyDescent="0.15">
      <c r="A131" s="5" t="s">
        <v>205</v>
      </c>
      <c r="B131" s="11">
        <v>-0.109637</v>
      </c>
      <c r="C131" s="11">
        <v>-3.0669999999999998E-3</v>
      </c>
      <c r="D131" s="11">
        <v>-1.7843000000000001E-2</v>
      </c>
      <c r="E131" s="11">
        <v>6.7938999999999999E-2</v>
      </c>
      <c r="F131" s="11">
        <v>5.7330000000000002E-3</v>
      </c>
    </row>
    <row r="132" spans="1:6" x14ac:dyDescent="0.15">
      <c r="A132" s="5" t="s">
        <v>204</v>
      </c>
      <c r="B132" s="11">
        <v>-7.2646000000000002E-2</v>
      </c>
      <c r="C132" s="11">
        <v>4.0619000000000002E-2</v>
      </c>
      <c r="D132" s="11">
        <v>-9.0300000000000005E-4</v>
      </c>
      <c r="E132" s="11">
        <v>7.0470000000000005E-2</v>
      </c>
      <c r="F132" s="11">
        <v>-0.11851399999999999</v>
      </c>
    </row>
    <row r="133" spans="1:6" ht="12" x14ac:dyDescent="0.15">
      <c r="A133" s="5" t="s">
        <v>203</v>
      </c>
      <c r="B133" s="11">
        <v>-7.6203000000000007E-2</v>
      </c>
      <c r="C133" s="11">
        <v>-6.9056999999999993E-2</v>
      </c>
      <c r="D133" s="11" t="s">
        <v>30</v>
      </c>
      <c r="E133" s="11">
        <v>-0.218722</v>
      </c>
      <c r="F133" s="11">
        <v>4.4400000000000004E-3</v>
      </c>
    </row>
    <row r="134" spans="1:6" ht="12" x14ac:dyDescent="0.15">
      <c r="A134" s="5" t="s">
        <v>202</v>
      </c>
      <c r="B134" s="11">
        <v>-7.3224999999999998E-2</v>
      </c>
      <c r="C134" s="11">
        <v>-6.7066000000000001E-2</v>
      </c>
      <c r="D134" s="11" t="s">
        <v>30</v>
      </c>
      <c r="E134" s="11">
        <v>-0.18574499999999999</v>
      </c>
      <c r="F134" s="11">
        <v>-4.95E-4</v>
      </c>
    </row>
    <row r="135" spans="1:6" x14ac:dyDescent="0.15">
      <c r="A135" s="5" t="s">
        <v>201</v>
      </c>
      <c r="B135" s="11">
        <v>-0.479209</v>
      </c>
      <c r="C135" s="11">
        <v>-0.34898499999999999</v>
      </c>
      <c r="D135" s="11">
        <v>-0.18096499999999999</v>
      </c>
      <c r="E135" s="11">
        <v>0.140098</v>
      </c>
      <c r="F135" s="11">
        <v>0.221083</v>
      </c>
    </row>
    <row r="136" spans="1:6" x14ac:dyDescent="0.15">
      <c r="A136" s="5"/>
      <c r="B136" s="5"/>
      <c r="C136" s="5"/>
      <c r="D136" s="5"/>
      <c r="E136" s="5"/>
      <c r="F136" s="5"/>
    </row>
    <row r="137" spans="1:6" x14ac:dyDescent="0.15">
      <c r="A137" s="7" t="s">
        <v>217</v>
      </c>
      <c r="B137" s="5"/>
      <c r="C137" s="5"/>
      <c r="D137" s="5"/>
      <c r="E137" s="5"/>
      <c r="F137" s="5"/>
    </row>
    <row r="138" spans="1:6" x14ac:dyDescent="0.15">
      <c r="A138" s="5" t="s">
        <v>85</v>
      </c>
      <c r="B138" s="11">
        <v>1.4598E-2</v>
      </c>
      <c r="C138" s="11">
        <v>3.5933E-2</v>
      </c>
      <c r="D138" s="11">
        <v>4.7099999999999998E-3</v>
      </c>
      <c r="E138" s="11">
        <v>2.2835000000000001E-2</v>
      </c>
      <c r="F138" s="11">
        <v>2.6939999999999999E-2</v>
      </c>
    </row>
    <row r="139" spans="1:6" x14ac:dyDescent="0.15">
      <c r="A139" s="5" t="s">
        <v>83</v>
      </c>
      <c r="B139" s="11">
        <v>5.8259999999999996E-3</v>
      </c>
      <c r="C139" s="11">
        <v>2.4025000000000001E-2</v>
      </c>
      <c r="D139" s="11">
        <v>-2.1294E-2</v>
      </c>
      <c r="E139" s="11">
        <v>-6.8840000000000004E-3</v>
      </c>
      <c r="F139" s="11">
        <v>6.5269999999999998E-3</v>
      </c>
    </row>
    <row r="140" spans="1:6" x14ac:dyDescent="0.15">
      <c r="A140" s="5" t="s">
        <v>216</v>
      </c>
      <c r="B140" s="11">
        <v>2.2469999999999999E-3</v>
      </c>
      <c r="C140" s="11">
        <v>1.8471000000000001E-2</v>
      </c>
      <c r="D140" s="11">
        <v>-2.9923000000000002E-2</v>
      </c>
      <c r="E140" s="11">
        <v>-2.2331E-2</v>
      </c>
      <c r="F140" s="11">
        <v>-1.1627E-2</v>
      </c>
    </row>
    <row r="141" spans="1:6" x14ac:dyDescent="0.15">
      <c r="A141" s="5" t="s">
        <v>215</v>
      </c>
      <c r="B141" s="11">
        <v>-2.9086999999999998E-2</v>
      </c>
      <c r="C141" s="11">
        <v>1.6256E-2</v>
      </c>
      <c r="D141" s="11">
        <v>-3.5619999999999999E-2</v>
      </c>
      <c r="E141" s="11">
        <v>-2.8281000000000001E-2</v>
      </c>
      <c r="F141" s="11">
        <v>-1.6265000000000002E-2</v>
      </c>
    </row>
    <row r="142" spans="1:6" x14ac:dyDescent="0.15">
      <c r="A142" s="5" t="s">
        <v>214</v>
      </c>
      <c r="B142" s="11">
        <v>-2.3453000000000002E-2</v>
      </c>
      <c r="C142" s="11">
        <v>1.4045E-2</v>
      </c>
      <c r="D142" s="11">
        <v>-3.8799E-2</v>
      </c>
      <c r="E142" s="11">
        <v>-3.2119000000000002E-2</v>
      </c>
      <c r="F142" s="11">
        <v>-1.1502999999999999E-2</v>
      </c>
    </row>
    <row r="143" spans="1:6" x14ac:dyDescent="0.15">
      <c r="A143" s="5" t="s">
        <v>58</v>
      </c>
      <c r="B143" s="11">
        <v>-0.56885300000000005</v>
      </c>
      <c r="C143" s="11">
        <v>0.175762</v>
      </c>
      <c r="D143" s="11">
        <v>-3.6622000000000002E-2</v>
      </c>
      <c r="E143" s="11">
        <v>5.9686000000000003E-2</v>
      </c>
      <c r="F143" s="11">
        <v>-5.7847999999999997E-2</v>
      </c>
    </row>
    <row r="144" spans="1:6" x14ac:dyDescent="0.15">
      <c r="A144" s="5" t="s">
        <v>53</v>
      </c>
      <c r="B144" s="11">
        <v>-0.298541</v>
      </c>
      <c r="C144" s="11">
        <v>0.30349399999999999</v>
      </c>
      <c r="D144" s="11">
        <v>-5.6795999999999999E-2</v>
      </c>
      <c r="E144" s="11">
        <v>4.0946000000000003E-2</v>
      </c>
      <c r="F144" s="11">
        <v>-8.584E-2</v>
      </c>
    </row>
    <row r="145" spans="1:6" x14ac:dyDescent="0.15">
      <c r="A145" s="5" t="s">
        <v>213</v>
      </c>
      <c r="B145" s="11">
        <v>-0.13900100000000001</v>
      </c>
      <c r="C145" s="11">
        <v>4.5934000000000003E-2</v>
      </c>
      <c r="D145" s="11">
        <v>-8.2566000000000001E-2</v>
      </c>
      <c r="E145" s="11">
        <v>-2.8746000000000001E-2</v>
      </c>
      <c r="F145" s="11">
        <v>-2.5895999999999999E-2</v>
      </c>
    </row>
    <row r="146" spans="1:6" ht="12" x14ac:dyDescent="0.15">
      <c r="A146" s="5" t="s">
        <v>212</v>
      </c>
      <c r="B146" s="11" t="s">
        <v>30</v>
      </c>
      <c r="C146" s="11">
        <v>0.27375300000000002</v>
      </c>
      <c r="D146" s="11">
        <v>-5.9757999999999999E-2</v>
      </c>
      <c r="E146" s="11">
        <v>6.3624E-2</v>
      </c>
      <c r="F146" s="11">
        <v>-7.9175999999999996E-2</v>
      </c>
    </row>
    <row r="147" spans="1:6" x14ac:dyDescent="0.15">
      <c r="A147" s="5"/>
      <c r="B147" s="5"/>
      <c r="C147" s="5"/>
      <c r="D147" s="5"/>
      <c r="E147" s="5"/>
      <c r="F147" s="5"/>
    </row>
    <row r="148" spans="1:6" x14ac:dyDescent="0.15">
      <c r="A148" s="5" t="s">
        <v>211</v>
      </c>
      <c r="B148" s="11">
        <v>6.1700000000000001E-3</v>
      </c>
      <c r="C148" s="11">
        <v>-5.0083999999999997E-2</v>
      </c>
      <c r="D148" s="11">
        <v>-5.4968000000000003E-2</v>
      </c>
      <c r="E148" s="11">
        <v>-6.1339999999999997E-3</v>
      </c>
      <c r="F148" s="11">
        <v>-1.5551000000000001E-2</v>
      </c>
    </row>
    <row r="149" spans="1:6" x14ac:dyDescent="0.15">
      <c r="A149" s="5" t="s">
        <v>210</v>
      </c>
      <c r="B149" s="11">
        <v>9.3856999999999996E-2</v>
      </c>
      <c r="C149" s="11">
        <v>6.7812999999999998E-2</v>
      </c>
      <c r="D149" s="11">
        <v>9.9279999999999993E-2</v>
      </c>
      <c r="E149" s="11">
        <v>5.6874000000000001E-2</v>
      </c>
      <c r="F149" s="11">
        <v>2.546E-2</v>
      </c>
    </row>
    <row r="150" spans="1:6" x14ac:dyDescent="0.15">
      <c r="A150" s="5" t="s">
        <v>209</v>
      </c>
      <c r="B150" s="11">
        <v>6.8691000000000002E-2</v>
      </c>
      <c r="C150" s="11">
        <v>3.4770000000000001E-3</v>
      </c>
      <c r="D150" s="11">
        <v>-3.803E-3</v>
      </c>
      <c r="E150" s="11">
        <v>-5.8399999999999997E-3</v>
      </c>
      <c r="F150" s="11">
        <v>-3.1233E-2</v>
      </c>
    </row>
    <row r="151" spans="1:6" x14ac:dyDescent="0.15">
      <c r="A151" s="5" t="s">
        <v>208</v>
      </c>
      <c r="B151" s="11">
        <v>0.109552</v>
      </c>
      <c r="C151" s="11">
        <v>-3.2399999999999998E-2</v>
      </c>
      <c r="D151" s="11">
        <v>-2.8549000000000001E-2</v>
      </c>
      <c r="E151" s="11">
        <v>-1.2744999999999999E-2</v>
      </c>
      <c r="F151" s="11">
        <v>-2.6758000000000001E-2</v>
      </c>
    </row>
    <row r="152" spans="1:6" x14ac:dyDescent="0.15">
      <c r="A152" s="5"/>
      <c r="B152" s="5"/>
      <c r="C152" s="5"/>
      <c r="D152" s="5"/>
      <c r="E152" s="5"/>
      <c r="F152" s="5"/>
    </row>
    <row r="153" spans="1:6" ht="12" x14ac:dyDescent="0.15">
      <c r="A153" s="5" t="s">
        <v>207</v>
      </c>
      <c r="B153" s="11" t="s">
        <v>30</v>
      </c>
      <c r="C153" s="11" t="s">
        <v>30</v>
      </c>
      <c r="D153" s="11" t="s">
        <v>30</v>
      </c>
      <c r="E153" s="11" t="s">
        <v>30</v>
      </c>
      <c r="F153" s="11" t="s">
        <v>30</v>
      </c>
    </row>
    <row r="154" spans="1:6" x14ac:dyDescent="0.15">
      <c r="A154" s="5" t="s">
        <v>206</v>
      </c>
      <c r="B154" s="11">
        <v>0.100524</v>
      </c>
      <c r="C154" s="11">
        <v>-7.6E-3</v>
      </c>
      <c r="D154" s="11">
        <v>2.2300000000000002E-3</v>
      </c>
      <c r="E154" s="11">
        <v>4.8841000000000002E-2</v>
      </c>
      <c r="F154" s="11">
        <v>6.5560000000000002E-3</v>
      </c>
    </row>
    <row r="155" spans="1:6" x14ac:dyDescent="0.15">
      <c r="A155" s="5" t="s">
        <v>205</v>
      </c>
      <c r="B155" s="11">
        <v>-5.0618999999999997E-2</v>
      </c>
      <c r="C155" s="11">
        <v>7.9186000000000006E-2</v>
      </c>
      <c r="D155" s="11">
        <v>-2.9302000000000002E-2</v>
      </c>
      <c r="E155" s="11">
        <v>-2.3449999999999999E-2</v>
      </c>
      <c r="F155" s="11">
        <v>1.4116E-2</v>
      </c>
    </row>
    <row r="156" spans="1:6" x14ac:dyDescent="0.15">
      <c r="A156" s="5" t="s">
        <v>204</v>
      </c>
      <c r="B156" s="11">
        <v>-4.4566000000000001E-2</v>
      </c>
      <c r="C156" s="11">
        <v>2.5243999999999999E-2</v>
      </c>
      <c r="D156" s="11">
        <v>1.7082E-2</v>
      </c>
      <c r="E156" s="11">
        <v>-1.5115999999999999E-2</v>
      </c>
      <c r="F156" s="11">
        <v>-5.6765999999999997E-2</v>
      </c>
    </row>
    <row r="157" spans="1:6" ht="12" x14ac:dyDescent="0.15">
      <c r="A157" s="5" t="s">
        <v>203</v>
      </c>
      <c r="B157" s="11">
        <v>0.18939700000000001</v>
      </c>
      <c r="C157" s="11" t="s">
        <v>30</v>
      </c>
      <c r="D157" s="11">
        <v>-0.230604</v>
      </c>
      <c r="E157" s="11">
        <v>-6.7085000000000006E-2</v>
      </c>
      <c r="F157" s="11" t="s">
        <v>30</v>
      </c>
    </row>
    <row r="158" spans="1:6" ht="12" x14ac:dyDescent="0.15">
      <c r="A158" s="5" t="s">
        <v>202</v>
      </c>
      <c r="B158" s="11">
        <v>0.182417</v>
      </c>
      <c r="C158" s="11" t="s">
        <v>30</v>
      </c>
      <c r="D158" s="11">
        <v>-0.19673599999999999</v>
      </c>
      <c r="E158" s="11">
        <v>-5.9723999999999999E-2</v>
      </c>
      <c r="F158" s="11" t="s">
        <v>30</v>
      </c>
    </row>
    <row r="159" spans="1:6" x14ac:dyDescent="0.15">
      <c r="A159" s="5" t="s">
        <v>201</v>
      </c>
      <c r="B159" s="11">
        <v>-0.30997799999999998</v>
      </c>
      <c r="C159" s="11">
        <v>-0.31821300000000002</v>
      </c>
      <c r="D159" s="11">
        <v>-0.28634700000000002</v>
      </c>
      <c r="E159" s="11">
        <v>-0.151504</v>
      </c>
      <c r="F159" s="11">
        <v>-6.6294000000000006E-2</v>
      </c>
    </row>
    <row r="160" spans="1:6" x14ac:dyDescent="0.15">
      <c r="A160" s="5"/>
      <c r="B160" s="5"/>
      <c r="C160" s="5"/>
      <c r="D160" s="5"/>
      <c r="E160" s="5"/>
      <c r="F160" s="5"/>
    </row>
    <row r="161" spans="1:6" ht="72" x14ac:dyDescent="0.15">
      <c r="A161" s="35" t="s">
        <v>0</v>
      </c>
      <c r="B161" s="3"/>
      <c r="C161" s="3"/>
      <c r="D161" s="3"/>
      <c r="E161" s="3"/>
      <c r="F161" s="3"/>
    </row>
  </sheetData>
  <pageMargins left="0.2" right="0.2" top="0.5" bottom="0.5" header="0.5" footer="0.5"/>
  <pageSetup fitToWidth="0" fitToHeight="0" orientation="landscape" horizontalDpi="0" verticalDpi="0"/>
  <headerFooter alignWithMargins="0"/>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84c755c-4231-48ff-8250-16b6ed1fda6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4C84175E17BC64FA93D9D74A2ADD37C" ma:contentTypeVersion="14" ma:contentTypeDescription="Create a new document." ma:contentTypeScope="" ma:versionID="103b930f22aad0a5999011171aab943b">
  <xsd:schema xmlns:xsd="http://www.w3.org/2001/XMLSchema" xmlns:xs="http://www.w3.org/2001/XMLSchema" xmlns:p="http://schemas.microsoft.com/office/2006/metadata/properties" xmlns:ns3="284c755c-4231-48ff-8250-16b6ed1fda61" xmlns:ns4="2caab2c4-64aa-47ff-ac1f-222cd52d9019" targetNamespace="http://schemas.microsoft.com/office/2006/metadata/properties" ma:root="true" ma:fieldsID="ed95919607448dafe080b06f61878e03" ns3:_="" ns4:_="">
    <xsd:import namespace="284c755c-4231-48ff-8250-16b6ed1fda61"/>
    <xsd:import namespace="2caab2c4-64aa-47ff-ac1f-222cd52d9019"/>
    <xsd:element name="properties">
      <xsd:complexType>
        <xsd:sequence>
          <xsd:element name="documentManagement">
            <xsd:complexType>
              <xsd:all>
                <xsd:element ref="ns3:_activity" minOccurs="0"/>
                <xsd:element ref="ns3:MediaServiceMetadata" minOccurs="0"/>
                <xsd:element ref="ns3:MediaServiceFastMetadata" minOccurs="0"/>
                <xsd:element ref="ns3:MediaServiceObjectDetectorVersions" minOccurs="0"/>
                <xsd:element ref="ns4:SharedWithUsers" minOccurs="0"/>
                <xsd:element ref="ns4:SharedWithDetails" minOccurs="0"/>
                <xsd:element ref="ns4:SharingHintHash" minOccurs="0"/>
                <xsd:element ref="ns3:MediaServiceSearchProperties" minOccurs="0"/>
                <xsd:element ref="ns3:MediaServiceDateTaken" minOccurs="0"/>
                <xsd:element ref="ns3:MediaServiceSystemTags" minOccurs="0"/>
                <xsd:element ref="ns3:MediaServiceOCR" minOccurs="0"/>
                <xsd:element ref="ns3:MediaServiceGenerationTime" minOccurs="0"/>
                <xsd:element ref="ns3:MediaServiceEventHashCod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4c755c-4231-48ff-8250-16b6ed1fda61"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aab2c4-64aa-47ff-ac1f-222cd52d901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DDC307-C01D-46C0-9DBC-20B687B78D3A}">
  <ds:schemaRefs>
    <ds:schemaRef ds:uri="http://schemas.microsoft.com/office/2006/documentManagement/types"/>
    <ds:schemaRef ds:uri="http://www.w3.org/XML/1998/namespace"/>
    <ds:schemaRef ds:uri="http://schemas.microsoft.com/office/2006/metadata/properties"/>
    <ds:schemaRef ds:uri="http://schemas.openxmlformats.org/package/2006/metadata/core-properties"/>
    <ds:schemaRef ds:uri="http://purl.org/dc/terms/"/>
    <ds:schemaRef ds:uri="2caab2c4-64aa-47ff-ac1f-222cd52d9019"/>
    <ds:schemaRef ds:uri="http://purl.org/dc/elements/1.1/"/>
    <ds:schemaRef ds:uri="http://schemas.microsoft.com/office/infopath/2007/PartnerControls"/>
    <ds:schemaRef ds:uri="284c755c-4231-48ff-8250-16b6ed1fda61"/>
    <ds:schemaRef ds:uri="http://purl.org/dc/dcmitype/"/>
  </ds:schemaRefs>
</ds:datastoreItem>
</file>

<file path=customXml/itemProps2.xml><?xml version="1.0" encoding="utf-8"?>
<ds:datastoreItem xmlns:ds="http://schemas.openxmlformats.org/officeDocument/2006/customXml" ds:itemID="{10EA4D48-0C1E-48DD-9D1E-1EEBF651B01A}">
  <ds:schemaRefs>
    <ds:schemaRef ds:uri="http://schemas.microsoft.com/sharepoint/v3/contenttype/forms"/>
  </ds:schemaRefs>
</ds:datastoreItem>
</file>

<file path=customXml/itemProps3.xml><?xml version="1.0" encoding="utf-8"?>
<ds:datastoreItem xmlns:ds="http://schemas.openxmlformats.org/officeDocument/2006/customXml" ds:itemID="{8AF8F853-3F72-4F89-BB90-56DAE4573B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84c755c-4231-48ff-8250-16b6ed1fda61"/>
    <ds:schemaRef ds:uri="2caab2c4-64aa-47ff-ac1f-222cd52d90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20</vt:i4>
      </vt:variant>
      <vt:variant>
        <vt:lpstr>Named Ranges</vt:lpstr>
      </vt:variant>
      <vt:variant>
        <vt:i4>6</vt:i4>
      </vt:variant>
    </vt:vector>
  </HeadingPairs>
  <TitlesOfParts>
    <vt:vector size="26" baseType="lpstr">
      <vt:lpstr>Title</vt:lpstr>
      <vt:lpstr>Ratio Analysis</vt:lpstr>
      <vt:lpstr>TAP_DCF</vt:lpstr>
      <vt:lpstr>Possible_Comps</vt:lpstr>
      <vt:lpstr>Selecting_Comps</vt:lpstr>
      <vt:lpstr>TAP_Comps</vt:lpstr>
      <vt:lpstr>Relative Valuation Chart</vt:lpstr>
      <vt:lpstr>TAP Football Field</vt:lpstr>
      <vt:lpstr>Income Statement</vt:lpstr>
      <vt:lpstr>Balance Sheet</vt:lpstr>
      <vt:lpstr>Cash Flow</vt:lpstr>
      <vt:lpstr>As Reported IS</vt:lpstr>
      <vt:lpstr>As Reported BS</vt:lpstr>
      <vt:lpstr>CS Income Statement</vt:lpstr>
      <vt:lpstr>CS Balance Sheet</vt:lpstr>
      <vt:lpstr>Coors Ratios</vt:lpstr>
      <vt:lpstr>Heineken Ratios</vt:lpstr>
      <vt:lpstr>Constellation Brands Ratios</vt:lpstr>
      <vt:lpstr>Boston Beer Ratios</vt:lpstr>
      <vt:lpstr>Busch Ratios</vt:lpstr>
      <vt:lpstr>'Boston Beer Ratios'!Print_Titles</vt:lpstr>
      <vt:lpstr>'Busch Ratios'!Print_Titles</vt:lpstr>
      <vt:lpstr>'Cash Flow'!Print_Titles</vt:lpstr>
      <vt:lpstr>'Constellation Brands Ratios'!Print_Titles</vt:lpstr>
      <vt:lpstr>'Coors Ratios'!Print_Titles</vt:lpstr>
      <vt:lpstr>'Heineken Ratios'!Print_Titles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Tupy, George</dc:creator>
  <cp:lastModifiedBy>Tupy, George</cp:lastModifiedBy>
  <dcterms:created xsi:type="dcterms:W3CDTF">2025-10-06T00:45:44Z</dcterms:created>
  <dcterms:modified xsi:type="dcterms:W3CDTF">2026-01-10T23:42:55Z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0x01010044C84175E17BC64FA93D9D74A2ADD37C</vt:lpwstr>
  </property>
</Properties>
</file>